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4440" windowWidth="28800" windowHeight="17505" tabRatio="219" activeTab="0"/>
  </bookViews>
  <sheets>
    <sheet name="My order" sheetId="1" r:id="rId1"/>
    <sheet name="Summary" sheetId="2" r:id="rId2"/>
    <sheet name="PrivateData" sheetId="3" state="hidden" r:id="rId3"/>
  </sheets>
  <definedNames>
    <definedName name="Argia">'PrivateData'!$D$2:$D$3</definedName>
    <definedName name="ArgiaMan">'PrivateData'!$B$23:$B$27</definedName>
    <definedName name="ArgiaWoman">'PrivateData'!$B$23:$B$26</definedName>
    <definedName name="Azkar">'PrivateData'!$B$2:$B$4</definedName>
    <definedName name="Azkar_LongSleeves">'PrivateData'!$B$2:$B$4</definedName>
    <definedName name="Azkar_LongSleevesKid">'PrivateData'!$B$19:$B$21</definedName>
    <definedName name="Azkar_LongSleevesMan">'PrivateData'!$B$22:$B$28</definedName>
    <definedName name="Azkar_LongSleevesWoman">'PrivateData'!$B$23:$B$27</definedName>
    <definedName name="Azkar_SleeveLess">'PrivateData'!$B$2:$B$4</definedName>
    <definedName name="Azkar_SleeveLessKid">'PrivateData'!$B$19:$B$21</definedName>
    <definedName name="Azkar_SleeveLessMan">'PrivateData'!$B$22:$B$28</definedName>
    <definedName name="Azkar_SleeveLessWoman">'PrivateData'!$B$23:$B$27</definedName>
    <definedName name="AzkarKid">'PrivateData'!$B$19:$B$21</definedName>
    <definedName name="AzkarMan">'PrivateData'!$B$22:$B$28</definedName>
    <definedName name="AzkarWoman">'PrivateData'!$B$23:$B$27</definedName>
    <definedName name="Banner">'PrivateData'!$D$13</definedName>
    <definedName name="BannerSublimated">'PrivateData'!$F$13:$F$14</definedName>
    <definedName name="Beach_Flag">'PrivateData'!$D$13</definedName>
    <definedName name="Beach_FlagSublimated">'PrivateData'!$C$32:$C$34</definedName>
    <definedName name="Bra">'PrivateData'!$C$13</definedName>
    <definedName name="BraSublimated">'PrivateData'!$G$19:$G$26</definedName>
    <definedName name="Cap">'PrivateData'!$B$13:$B$15</definedName>
    <definedName name="Cap5_Panel">'PrivateData'!$E$19</definedName>
    <definedName name="CapFlexfit">'PrivateData'!$D$19:$D$20</definedName>
    <definedName name="CapTrucker">'PrivateData'!$E$19</definedName>
    <definedName name="Casual_Tee">'PrivateData'!$B$2:$B$4</definedName>
    <definedName name="Casual_Tee_LongSleeves">'PrivateData'!$B$2:$B$4</definedName>
    <definedName name="Casual_Tee_LongSleevesKid">'PrivateData'!$B$19:$B$21</definedName>
    <definedName name="Casual_Tee_LongSleevesMan">'PrivateData'!$B$22:$B$28</definedName>
    <definedName name="Casual_Tee_LongSleevesWoman">'PrivateData'!$B$23:$B$27</definedName>
    <definedName name="Casual_TeeKid">'PrivateData'!$B$19:$B$21</definedName>
    <definedName name="Casual_TeeMan">'PrivateData'!$B$22:$B$28</definedName>
    <definedName name="Casual_TeeWoman">'PrivateData'!$B$23:$B$27</definedName>
    <definedName name="Compression_Sleeves">'PrivateData'!$D$2:$D$3</definedName>
    <definedName name="Compression_SleevesMan">'PrivateData'!$D$19:$D$20</definedName>
    <definedName name="Compression_SleevesWoman">'PrivateData'!$D$19:$D$20</definedName>
    <definedName name="Compression_Top">'PrivateData'!$B$2:$B$4</definedName>
    <definedName name="Compression_Top_LongSleeves">'PrivateData'!$B$2:$B$4</definedName>
    <definedName name="Compression_Top_LongSleevesKid">'PrivateData'!$B$19:$B$21</definedName>
    <definedName name="Compression_Top_LongSleevesMan">'PrivateData'!$B$22:$B$28</definedName>
    <definedName name="Compression_Top_LongSleevesWoman">'PrivateData'!$B$23:$B$27</definedName>
    <definedName name="Compression_TopKid">'PrivateData'!$B$19:$B$21</definedName>
    <definedName name="Compression_TopMan">'PrivateData'!$B$22:$B$28</definedName>
    <definedName name="Compression_TopWoman">'PrivateData'!$B$23:$B$27</definedName>
    <definedName name="Dotoreak">'PrivateData'!$B$2:$B$4</definedName>
    <definedName name="Dotoreak_LongSleeves">'PrivateData'!$B$2:$B$4</definedName>
    <definedName name="Dotoreak_LongSleevesKid">'PrivateData'!$B$19:$B$21</definedName>
    <definedName name="Dotoreak_LongSleevesMan">'PrivateData'!$B$22:$B$28</definedName>
    <definedName name="Dotoreak_LongSleevesWoman">'PrivateData'!$B$23:$B$27</definedName>
    <definedName name="DotoreakKid">'PrivateData'!$B$19:$B$21</definedName>
    <definedName name="DotoreakMan">'PrivateData'!$B$22:$B$28</definedName>
    <definedName name="DotoreakWoman">'PrivateData'!$B$23:$B$27</definedName>
    <definedName name="Drawstring_Bag">'PrivateData'!$C$13</definedName>
    <definedName name="Drawstring_BagSublimated">'PrivateData'!$E$19</definedName>
    <definedName name="Erritmo">'PrivateData'!$B$2:$B$4</definedName>
    <definedName name="ErritmoKid">'PrivateData'!$B$19:$B$21</definedName>
    <definedName name="ErritmoMan">'PrivateData'!$B$22:$B$28</definedName>
    <definedName name="ErritmoWoman">'PrivateData'!$B$23:$B$27</definedName>
    <definedName name="Excel_BuiltIn__FilterDatabase">'My order'!$A$29:$H$230</definedName>
    <definedName name="Facemask">'PrivateData'!$E$13:$E$14</definedName>
    <definedName name="FacemaskAdult">'PrivateData'!$D$13</definedName>
    <definedName name="FacemaskKid">'PrivateData'!$D$13</definedName>
    <definedName name="Fanion">'PrivateData'!$C$13</definedName>
    <definedName name="FanionSublimated">'PrivateData'!$E$19</definedName>
    <definedName name="Foot">'PrivateData'!$D$32:$D$33</definedName>
    <definedName name="FootGrass">'PrivateData'!$E$19</definedName>
    <definedName name="FootSand">'PrivateData'!$E$19</definedName>
    <definedName name="Garland">'PrivateData'!$D$13</definedName>
    <definedName name="GarlandSublimated">'PrivateData'!$E$19</definedName>
    <definedName name="Gloves">'PrivateData'!$E$13:$E$14</definedName>
    <definedName name="GlovesAdult">'PrivateData'!$B$22:$B$27</definedName>
    <definedName name="GlovesKid">'PrivateData'!$F$22:$F$23</definedName>
    <definedName name="Half_Leg">'PrivateData'!$E$2:$E$3</definedName>
    <definedName name="Half_LegMan">'PrivateData'!$B$22:$B$27</definedName>
    <definedName name="Half_LegWoman">'PrivateData'!$B$22:$B$27</definedName>
    <definedName name="Handwarmer">'PrivateData'!$C$13</definedName>
    <definedName name="HandwarmerSublimated">'PrivateData'!$E$19</definedName>
    <definedName name="Headband">'PrivateData'!$C$13</definedName>
    <definedName name="HeadbandSublimated">'PrivateData'!$E$19</definedName>
    <definedName name="Iribazi">'PrivateData'!$B$2:$B$4</definedName>
    <definedName name="Iribazi_LongSleeves">'PrivateData'!$B$2:$B$4</definedName>
    <definedName name="Iribazi_LongSleevesKid">'PrivateData'!$B$19:$B$21</definedName>
    <definedName name="Iribazi_LongSleevesMan">'PrivateData'!$B$22:$B$28</definedName>
    <definedName name="Iribazi_LongSleevesWoman">'PrivateData'!$B$23:$B$27</definedName>
    <definedName name="IribaziKid">'PrivateData'!$B$19:$B$21</definedName>
    <definedName name="IribaziMan">'PrivateData'!$B$22:$B$28</definedName>
    <definedName name="IribaziWoman">'PrivateData'!$B$23:$B$27</definedName>
    <definedName name="Jaketa">'PrivateData'!$B$2:$B$3</definedName>
    <definedName name="JaketaMan">'PrivateData'!$B$23:$B$27</definedName>
    <definedName name="JaketaWoman">'PrivateData'!$B$23:$B$26</definedName>
    <definedName name="Jauzi">'PrivateData'!$B$2:$B$4</definedName>
    <definedName name="JauziKid">'PrivateData'!$B$19:$B$21</definedName>
    <definedName name="JauziMan">'PrivateData'!$B$22:$B$28</definedName>
    <definedName name="JauziWoman">'PrivateData'!$B$23:$B$27</definedName>
    <definedName name="Kanpaia">'PrivateData'!$D$2:$D$3</definedName>
    <definedName name="KanpaiaMan">'PrivateData'!$B$23:$B$27</definedName>
    <definedName name="KanpaiaWoman">'PrivateData'!$B$23:$B$26</definedName>
    <definedName name="Korrika">'PrivateData'!$B$2:$B$4</definedName>
    <definedName name="KorrikaKid">'PrivateData'!$B$19:$B$21</definedName>
    <definedName name="KorrikaMan">'PrivateData'!$B$22:$B$28</definedName>
    <definedName name="KorrikaWoman">'PrivateData'!$B$23:$B$27</definedName>
    <definedName name="Korsair">'PrivateData'!$E$2:$E$3</definedName>
    <definedName name="Korsair_Plus">'PrivateData'!$D$2:$D$3</definedName>
    <definedName name="Korsair_PlusMan">'PrivateData'!$B$22:$B$27</definedName>
    <definedName name="Korsair_PlusWoman">'PrivateData'!$B$22:$B$27</definedName>
    <definedName name="KorsairMan">'PrivateData'!$B$22:$B$27</definedName>
    <definedName name="KorsairWoman">'PrivateData'!$B$22:$B$27</definedName>
    <definedName name="Kuxin">'PrivateData'!$C$13</definedName>
    <definedName name="KuxinSublimated">'PrivateData'!$E$19</definedName>
    <definedName name="Legging">'PrivateData'!$E$2:$E$3</definedName>
    <definedName name="LeggingMan">'PrivateData'!$B$22:$B$27</definedName>
    <definedName name="LeggingWoman">'PrivateData'!$B$22:$B$27</definedName>
    <definedName name="Ohiko">'PrivateData'!$B$2:$B$4</definedName>
    <definedName name="Ohiko_LongSleeves">'PrivateData'!$B$2:$B$4</definedName>
    <definedName name="Ohiko_LongSleevesKid">'PrivateData'!$B$19:$B$21</definedName>
    <definedName name="Ohiko_LongSleevesMan">'PrivateData'!$B$22:$B$28</definedName>
    <definedName name="Ohiko_LongSleevesWoman">'PrivateData'!$B$23:$B$27</definedName>
    <definedName name="Ohiko_SleeveLess">'PrivateData'!$B$2:$B$4</definedName>
    <definedName name="Ohiko_SleeveLessKid">'PrivateData'!$B$19:$B$21</definedName>
    <definedName name="Ohiko_SleeveLessMan">'PrivateData'!$B$22:$B$28</definedName>
    <definedName name="Ohiko_SleeveLessWoman">'PrivateData'!$B$23:$B$27</definedName>
    <definedName name="OhikoKid">'PrivateData'!$B$19:$B$21</definedName>
    <definedName name="OhikoMan">'PrivateData'!$B$22:$B$28</definedName>
    <definedName name="OhikoWoman">'PrivateData'!$B$23:$B$27</definedName>
    <definedName name="PAYS">'PrivateData'!$L$1:$L$240</definedName>
    <definedName name="Products">'PrivateData'!$A$2:$A$58</definedName>
    <definedName name="Rectangular_Flag">'PrivateData'!$D$13</definedName>
    <definedName name="Rectangular_FlagSublimated">'PrivateData'!$B$32:$B$33</definedName>
    <definedName name="Reversible">'PrivateData'!$F$2</definedName>
    <definedName name="ReversibleUnisex">'PrivateData'!$B$19:$B$28</definedName>
    <definedName name="Short">'PrivateData'!$C$2:$C$6</definedName>
    <definedName name="ShortBeach_Woman">'PrivateData'!$C$22:$C$26</definedName>
    <definedName name="ShortLong">'PrivateData'!$C$19:$C$27</definedName>
    <definedName name="ShortMultisport">'PrivateData'!$C$19:$C$27</definedName>
    <definedName name="ShortTight_Woman">'PrivateData'!$C$22:$C$26</definedName>
    <definedName name="ShortWoman">'PrivateData'!$C$22:$C$26</definedName>
    <definedName name="Skirt">'PrivateData'!$C$4</definedName>
    <definedName name="SkirtWoman">'PrivateData'!$C$22:$C$26</definedName>
    <definedName name="Snood">'PrivateData'!$C$13</definedName>
    <definedName name="SnoodSublimated">'PrivateData'!$E$19</definedName>
    <definedName name="Softshell">'PrivateData'!$B$2:$B$3</definedName>
    <definedName name="SoftshellMan">'PrivateData'!$B$23:$B$28</definedName>
    <definedName name="SoftshellWoman">'PrivateData'!$B$23:$B$27</definedName>
    <definedName name="Surf_Top">'PrivateData'!$B$2:$B$4</definedName>
    <definedName name="Surf_TopKid">'PrivateData'!$B$19:$B$21</definedName>
    <definedName name="Surf_TopMan">'PrivateData'!$B$22:$B$28</definedName>
    <definedName name="Surf_TopWoman">'PrivateData'!$B$23:$B$27</definedName>
    <definedName name="Tank">'PrivateData'!$B$2:$B$4</definedName>
    <definedName name="TankKid">'PrivateData'!$B$19:$B$21</definedName>
    <definedName name="TankMan">'PrivateData'!$B$22:$B$28</definedName>
    <definedName name="TankWoman">'PrivateData'!$B$23:$B$27</definedName>
    <definedName name="Thermal_Warmer">'PrivateData'!$C$13</definedName>
    <definedName name="Thermal_WarmerSublimated">'PrivateData'!$E$19</definedName>
    <definedName name="Towel">'PrivateData'!$C$13</definedName>
    <definedName name="Underwear">'PrivateData'!$E$2:$E$3</definedName>
    <definedName name="UnderwearMan">'PrivateData'!$B$22:$B$27</definedName>
    <definedName name="UnderwearWoman">'PrivateData'!$B$22:$B$27</definedName>
    <definedName name="Volley">'PrivateData'!$B$2:$B$4</definedName>
    <definedName name="VolleyKid">'PrivateData'!$B$19:$B$21</definedName>
    <definedName name="VolleyMan">'PrivateData'!$B$22:$B$28</definedName>
    <definedName name="VolleyWoman">'PrivateData'!$B$23:$B$27</definedName>
    <definedName name="Wristband">'PrivateData'!$C$13</definedName>
    <definedName name="WristbandSublimated">'PrivateData'!$E$19</definedName>
    <definedName name="Ziklo">'PrivateData'!$B$2:$B$4</definedName>
    <definedName name="ZikloKid">'PrivateData'!$B$19:$B$21</definedName>
    <definedName name="ZikloMan">'PrivateData'!$B$22:$B$28</definedName>
    <definedName name="ZikloWoman">'PrivateData'!$B$23:$B$27</definedName>
  </definedNames>
  <calcPr fullCalcOnLoad="1"/>
</workbook>
</file>

<file path=xl/sharedStrings.xml><?xml version="1.0" encoding="utf-8"?>
<sst xmlns="http://schemas.openxmlformats.org/spreadsheetml/2006/main" count="526" uniqueCount="377">
  <si>
    <t>English</t>
  </si>
  <si>
    <t>Email</t>
  </si>
  <si>
    <t>Mobile</t>
  </si>
  <si>
    <t>Telephone</t>
  </si>
  <si>
    <t>Total</t>
  </si>
  <si>
    <t>No</t>
  </si>
  <si>
    <t>XS</t>
  </si>
  <si>
    <t>S</t>
  </si>
  <si>
    <t>M</t>
  </si>
  <si>
    <t>L</t>
  </si>
  <si>
    <t>XL</t>
  </si>
  <si>
    <t>XXL</t>
  </si>
  <si>
    <t>XXXL</t>
  </si>
  <si>
    <t>Argia</t>
  </si>
  <si>
    <t>Azkar</t>
  </si>
  <si>
    <t>Azkar Long Sleeves</t>
  </si>
  <si>
    <t>Casual Tee</t>
  </si>
  <si>
    <t>Compression Top</t>
  </si>
  <si>
    <t>Compression Top Long Sleeves</t>
  </si>
  <si>
    <t>Dotoreak</t>
  </si>
  <si>
    <t>Dotoreak Long Sleeves</t>
  </si>
  <si>
    <t>Erritmo</t>
  </si>
  <si>
    <t>Iribazi</t>
  </si>
  <si>
    <t>Iribazi Long Sleeves</t>
  </si>
  <si>
    <t>Jaketa</t>
  </si>
  <si>
    <t>Jauzi</t>
  </si>
  <si>
    <t>Kanpaia</t>
  </si>
  <si>
    <t>Korrika</t>
  </si>
  <si>
    <t>Ohiko</t>
  </si>
  <si>
    <t>Ohiko Long Sleeves</t>
  </si>
  <si>
    <t>Reversible</t>
  </si>
  <si>
    <t>Unisex</t>
  </si>
  <si>
    <t>Tank</t>
  </si>
  <si>
    <t>Volley</t>
  </si>
  <si>
    <t>Softshell</t>
  </si>
  <si>
    <t>Surf Top</t>
  </si>
  <si>
    <t>Ziklo</t>
  </si>
  <si>
    <t>S-M</t>
  </si>
  <si>
    <t>L-XL</t>
  </si>
  <si>
    <t>Half Leg</t>
  </si>
  <si>
    <t>Korsair</t>
  </si>
  <si>
    <t>Korsair Plus</t>
  </si>
  <si>
    <t>Legging</t>
  </si>
  <si>
    <t>Underwear</t>
  </si>
  <si>
    <t>Fanion</t>
  </si>
  <si>
    <t>Shorts/Skirt</t>
  </si>
  <si>
    <t>Handwarmer</t>
  </si>
  <si>
    <t>Shorts Long</t>
  </si>
  <si>
    <t>Shorts Multisport</t>
  </si>
  <si>
    <t>Thermal Warmer</t>
  </si>
  <si>
    <t>Shorts Woman</t>
  </si>
  <si>
    <t>Towel</t>
  </si>
  <si>
    <t>Shorts  Beach Woman</t>
  </si>
  <si>
    <t>Kuxin</t>
  </si>
  <si>
    <t>Shorts Tight Woman</t>
  </si>
  <si>
    <t>Skirt</t>
  </si>
  <si>
    <t>Total Shorts</t>
  </si>
  <si>
    <t>Products</t>
  </si>
  <si>
    <t>Gender Shirt</t>
  </si>
  <si>
    <t>Gender Short</t>
  </si>
  <si>
    <t>Gender No Kids</t>
  </si>
  <si>
    <t>Gender Legs</t>
  </si>
  <si>
    <t>Man</t>
  </si>
  <si>
    <t>Long</t>
  </si>
  <si>
    <t>Afghanistan</t>
  </si>
  <si>
    <t>abcdefghijklmnopqrstuvwxyz</t>
  </si>
  <si>
    <t>----- Top -----</t>
  </si>
  <si>
    <t>Woman</t>
  </si>
  <si>
    <t>Multisport</t>
  </si>
  <si>
    <t>Albania</t>
  </si>
  <si>
    <t>Kid</t>
  </si>
  <si>
    <t>Algeria</t>
  </si>
  <si>
    <t>Beach_Woman</t>
  </si>
  <si>
    <t>American Samoa</t>
  </si>
  <si>
    <t>Tight_Woman</t>
  </si>
  <si>
    <t>Andorra</t>
  </si>
  <si>
    <t>Azkar_LongSleeves</t>
  </si>
  <si>
    <t>Angola</t>
  </si>
  <si>
    <t>Casual_Tee</t>
  </si>
  <si>
    <t>Anguilla</t>
  </si>
  <si>
    <t>Antarctica</t>
  </si>
  <si>
    <t>Compression_Top</t>
  </si>
  <si>
    <t>Antigua and Barbuda</t>
  </si>
  <si>
    <t>Compression_Top_LongSleeves</t>
  </si>
  <si>
    <t>Argentina</t>
  </si>
  <si>
    <t>Type Cap</t>
  </si>
  <si>
    <t>Type Accessories</t>
  </si>
  <si>
    <t>Type Flag</t>
  </si>
  <si>
    <t>Armenia</t>
  </si>
  <si>
    <t>Dotoreak_LongSleeves</t>
  </si>
  <si>
    <t>Flexfit</t>
  </si>
  <si>
    <t>Sublimated</t>
  </si>
  <si>
    <t>Aruba</t>
  </si>
  <si>
    <t>Trucker</t>
  </si>
  <si>
    <t>Australia</t>
  </si>
  <si>
    <t>Austria</t>
  </si>
  <si>
    <t>Iribazi_LongSleeves</t>
  </si>
  <si>
    <t>Azerbaijan</t>
  </si>
  <si>
    <t>Bahamas</t>
  </si>
  <si>
    <t>Sizes</t>
  </si>
  <si>
    <t>Sizes Short</t>
  </si>
  <si>
    <t>Sizes Sleeves/Caps</t>
  </si>
  <si>
    <t>Size Unique</t>
  </si>
  <si>
    <t>Bahrain</t>
  </si>
  <si>
    <t>onesize</t>
  </si>
  <si>
    <t>Bangladesh</t>
  </si>
  <si>
    <t>Barbados</t>
  </si>
  <si>
    <t>Belarus</t>
  </si>
  <si>
    <t>Ohiko_LongSleeves</t>
  </si>
  <si>
    <t>Belgium</t>
  </si>
  <si>
    <t>Belize</t>
  </si>
  <si>
    <t>Surf_Top</t>
  </si>
  <si>
    <t>Benin</t>
  </si>
  <si>
    <t>Bermuda</t>
  </si>
  <si>
    <t>Bhutan</t>
  </si>
  <si>
    <t>Bolivia</t>
  </si>
  <si>
    <t>----- Bottom -----</t>
  </si>
  <si>
    <t>Bosnia and Herzegovina</t>
  </si>
  <si>
    <t>Short</t>
  </si>
  <si>
    <t>Botswana</t>
  </si>
  <si>
    <t>Half_Leg</t>
  </si>
  <si>
    <t>Brazil</t>
  </si>
  <si>
    <t>Size Rect Flag</t>
  </si>
  <si>
    <t>Size BeachFlag</t>
  </si>
  <si>
    <t>Size Foot</t>
  </si>
  <si>
    <t>Brunei Darussalam</t>
  </si>
  <si>
    <t>Korsair_Plus</t>
  </si>
  <si>
    <t>150x85</t>
  </si>
  <si>
    <t>450x80</t>
  </si>
  <si>
    <t>Grass_Spike</t>
  </si>
  <si>
    <t>Bulgaria</t>
  </si>
  <si>
    <t>134x123</t>
  </si>
  <si>
    <t>350x62</t>
  </si>
  <si>
    <t>Sand_Screw</t>
  </si>
  <si>
    <t>Burkina Faso</t>
  </si>
  <si>
    <t>250x48</t>
  </si>
  <si>
    <t>Burundi</t>
  </si>
  <si>
    <t>Cambodia</t>
  </si>
  <si>
    <t>----- Accessories -----</t>
  </si>
  <si>
    <t>Cameroon</t>
  </si>
  <si>
    <t>Cap</t>
  </si>
  <si>
    <t>Canada</t>
  </si>
  <si>
    <t>Compression_Sleeves</t>
  </si>
  <si>
    <t>Cape Verde</t>
  </si>
  <si>
    <t>Drawstring_Bag</t>
  </si>
  <si>
    <t>Cayman Islands</t>
  </si>
  <si>
    <t>Gloves</t>
  </si>
  <si>
    <t>Central African Republic</t>
  </si>
  <si>
    <t>Chad</t>
  </si>
  <si>
    <t>Headband</t>
  </si>
  <si>
    <t>Chile</t>
  </si>
  <si>
    <t>China</t>
  </si>
  <si>
    <t>Snood</t>
  </si>
  <si>
    <t>Colombia</t>
  </si>
  <si>
    <t>Comoros</t>
  </si>
  <si>
    <t>Thermal_Warmer</t>
  </si>
  <si>
    <t>Congo</t>
  </si>
  <si>
    <t>Congo, The Democratic Republic of The</t>
  </si>
  <si>
    <t>Wristband</t>
  </si>
  <si>
    <t>Cook Islands</t>
  </si>
  <si>
    <t>----- Flags -----</t>
  </si>
  <si>
    <t>Costa Rica</t>
  </si>
  <si>
    <t>Beach_Flag</t>
  </si>
  <si>
    <t>Cote D'ivoire</t>
  </si>
  <si>
    <t>Rectangular_Flag</t>
  </si>
  <si>
    <t>Croatia</t>
  </si>
  <si>
    <t>Cuba</t>
  </si>
  <si>
    <t>Foot</t>
  </si>
  <si>
    <t>Cyprus</t>
  </si>
  <si>
    <t>Garland</t>
  </si>
  <si>
    <t>Czech Republic</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</si>
  <si>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</si>
  <si>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</si>
  <si>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</si>
  <si>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</si>
  <si>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</si>
  <si>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</si>
  <si>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</si>
  <si>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</si>
  <si>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</si>
  <si>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</si>
  <si>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</si>
  <si>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</si>
  <si>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</si>
  <si>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</si>
  <si>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</si>
  <si>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</si>
  <si>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</si>
  <si>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</si>
  <si>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</si>
  <si>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</si>
  <si>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</si>
  <si>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</si>
  <si>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</si>
  <si>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</si>
  <si>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</si>
  <si>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</si>
  <si>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</si>
  <si>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</si>
  <si>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</si>
  <si>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</si>
  <si>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</si>
  <si>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</si>
  <si>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</si>
  <si>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</si>
  <si>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</si>
  <si>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</si>
  <si>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Holy See (Vatican City State)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</si>
  <si>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</si>
  <si>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</si>
  <si>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</si>
  <si>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</si>
  <si>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</si>
  <si>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</si>
  <si>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</si>
  <si>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</si>
  <si>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</si>
  <si>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</si>
  <si>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</si>
  <si>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</si>
  <si>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</si>
  <si>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</si>
  <si>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</si>
  <si>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</si>
  <si>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</si>
  <si>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</si>
  <si>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</si>
  <si>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</si>
  <si>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</si>
  <si>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</si>
  <si>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</si>
  <si>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</si>
  <si>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</si>
  <si>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</si>
  <si>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</si>
  <si>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</si>
  <si>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</si>
  <si>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</si>
  <si>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</si>
  <si>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</si>
  <si>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</si>
  <si>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</si>
  <si>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</si>
  <si>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</si>
  <si>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</si>
  <si>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</si>
  <si>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</si>
  <si>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</si>
  <si>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</si>
  <si>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</si>
  <si>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</si>
  <si>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</si>
  <si>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</si>
  <si>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</si>
  <si>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</si>
  <si>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</si>
  <si>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</si>
  <si>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</si>
  <si>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</si>
  <si>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</si>
  <si>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</si>
  <si>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</si>
  <si>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</si>
  <si>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</si>
  <si>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</si>
  <si>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</si>
  <si>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</si>
  <si>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</si>
  <si>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</si>
  <si>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</si>
  <si>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</si>
  <si>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</si>
  <si>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</si>
  <si>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</si>
  <si>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</si>
  <si>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</si>
  <si>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</si>
  <si>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</si>
  <si>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</si>
  <si>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</si>
  <si>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</si>
  <si>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</si>
  <si>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</si>
  <si>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</si>
  <si>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</si>
  <si>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</si>
  <si>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</si>
  <si>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</si>
  <si>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</si>
  <si>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</si>
  <si>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</si>
  <si>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</si>
  <si>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</si>
  <si>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</si>
  <si>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</si>
  <si>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</si>
  <si>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</si>
  <si>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</si>
  <si>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</si>
  <si>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</si>
  <si>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</si>
  <si>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</si>
  <si>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</si>
  <si>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</si>
  <si>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</si>
  <si>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</si>
  <si>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</si>
  <si>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</si>
  <si>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</si>
  <si>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</si>
  <si>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</si>
  <si>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</si>
  <si>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</si>
  <si>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</si>
  <si>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</si>
  <si>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</si>
  <si>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</si>
  <si>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</si>
  <si>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</si>
  <si>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</si>
  <si>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</si>
  <si>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</si>
  <si>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</si>
  <si>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</si>
  <si>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</si>
  <si>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</si>
  <si>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</si>
  <si>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</si>
  <si>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</si>
  <si>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</si>
  <si>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</si>
  <si>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</si>
  <si>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</si>
  <si>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</si>
  <si>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</si>
  <si>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</si>
  <si>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</si>
  <si>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</si>
  <si>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</si>
  <si>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</si>
  <si>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</si>
  <si>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</si>
  <si>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</si>
  <si>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</si>
  <si>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</si>
  <si>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</si>
  <si>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</si>
  <si>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</si>
  <si>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t>
  </si>
  <si>
    <t>Viet Nam</t>
  </si>
  <si>
    <t>Virgin Islands, British</t>
  </si>
  <si>
    <t>Virgin Islands, U.S.</t>
  </si>
  <si>
    <t>Wallis and Futuna</t>
  </si>
  <si>
    <t>Western Sahara</t>
  </si>
  <si>
    <t>Yemen</t>
  </si>
  <si>
    <t>Zambia</t>
  </si>
  <si>
    <t>Zimbabwe</t>
  </si>
  <si>
    <t>Casual_Tee_LongSleeves</t>
  </si>
  <si>
    <t>Casual Tee Long Sleeves</t>
  </si>
  <si>
    <t>Facemask</t>
  </si>
  <si>
    <t>Type Mask</t>
  </si>
  <si>
    <t>Adult</t>
  </si>
  <si>
    <t>Azkar_SleeveLess</t>
  </si>
  <si>
    <t>Ohiko_SleeveLess</t>
  </si>
  <si>
    <t>Azkar Sleeveless</t>
  </si>
  <si>
    <t>Ohiko Sleeveless</t>
  </si>
  <si>
    <t>Sizes GlovesKid</t>
  </si>
  <si>
    <t>5_Panel</t>
  </si>
  <si>
    <t>Banner</t>
  </si>
  <si>
    <t>Type Banner</t>
  </si>
  <si>
    <t>Heavy</t>
  </si>
  <si>
    <t>Light</t>
  </si>
  <si>
    <t>Bra</t>
  </si>
  <si>
    <t>Sizes Bra</t>
  </si>
  <si>
    <t>XXS</t>
  </si>
  <si>
    <t>Total Bra</t>
  </si>
  <si>
    <t>v3-6</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</si>
</sst>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T\r\ue\”;\“\T\r\ue\”;\“\F\a\lse\”"/>
    <numFmt numFmtId="173" formatCode="[$€-2]\ #,##0.00_);[Red]\([$€-2]\ #,##0.00\)"/>
    <numFmt numFmtId="174" formatCode="&quot;Yes”;&quot;yyes&quot;;“No&quot;"/>
    <numFmt numFmtId="175" formatCode="&quot;True”;&quot;\T\r\ue&quot;;“False&quot;"/>
  </numFmts>
  <fonts count="51">
    <font>
      <sz val="10"/>
      <name val="Arial"/>
      <family val="2"/>
    </font>
    <font>
      <b/>
      <sz val="14"/>
      <name val="Arial"/>
      <family val="2"/>
    </font>
    <font>
      <sz val="11"/>
      <color indexed="8"/>
      <name val="Segoe UI"/>
      <family val="2"/>
    </font>
    <font>
      <b/>
      <sz val="16"/>
      <color indexed="9"/>
      <name val="Arial"/>
      <family val="2"/>
    </font>
    <font>
      <sz val="12"/>
      <name val="Arial"/>
      <family val="2"/>
    </font>
    <font>
      <sz val="10"/>
      <name val="Segoe UI Symbol"/>
      <family val="2"/>
    </font>
    <font>
      <b/>
      <sz val="10"/>
      <color indexed="9"/>
      <name val="Arial"/>
      <family val="2"/>
    </font>
    <font>
      <sz val="10"/>
      <color indexed="9"/>
      <name val="Arial"/>
      <family val="2"/>
    </font>
    <font>
      <u val="single"/>
      <sz val="10"/>
      <color indexed="12"/>
      <name val="Arial"/>
      <family val="2"/>
    </font>
    <font>
      <b/>
      <sz val="10"/>
      <name val="Arial"/>
      <family val="2"/>
    </font>
    <font>
      <sz val="11"/>
      <color indexed="8"/>
      <name val="Calibri"/>
      <family val="2"/>
    </font>
    <font>
      <sz val="10"/>
      <color indexed="62"/>
      <name val="Arial"/>
      <family val="2"/>
    </font>
    <font>
      <b/>
      <sz val="26"/>
      <name val="Arial"/>
      <family val="2"/>
    </font>
    <font>
      <b/>
      <sz val="11"/>
      <color indexed="9"/>
      <name val="Arial"/>
      <family val="2"/>
    </font>
    <font>
      <b/>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62"/>
        <bgColor indexed="64"/>
      </patternFill>
    </fill>
    <fill>
      <patternFill patternType="solid">
        <fgColor indexed="23"/>
        <bgColor indexed="64"/>
      </patternFill>
    </fill>
    <fill>
      <patternFill patternType="solid">
        <fgColor indexed="49"/>
        <bgColor indexed="64"/>
      </patternFill>
    </fill>
    <fill>
      <patternFill patternType="solid">
        <fgColor indexed="57"/>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color indexed="63"/>
      </top>
      <bottom>
        <color indexed="63"/>
      </bottom>
    </border>
    <border>
      <left style="thin"/>
      <right>
        <color indexed="63"/>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10" fillId="0" borderId="0">
      <alignment/>
      <protection/>
    </xf>
    <xf numFmtId="0" fontId="39" fillId="29" borderId="0" applyNumberFormat="0" applyBorder="0" applyAlignment="0" applyProtection="0"/>
    <xf numFmtId="0" fontId="8" fillId="0" borderId="0" applyNumberFormat="0" applyFill="0" applyBorder="0" applyAlignment="0" applyProtection="0"/>
    <xf numFmtId="0" fontId="4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1" fillId="30" borderId="0" applyNumberFormat="0" applyBorder="0" applyAlignment="0" applyProtection="0"/>
    <xf numFmtId="9" fontId="0" fillId="0" borderId="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148">
    <xf numFmtId="0" fontId="0" fillId="0" borderId="0" xfId="0" applyAlignment="1">
      <alignment/>
    </xf>
    <xf numFmtId="0" fontId="0" fillId="33" borderId="0" xfId="0" applyFill="1" applyBorder="1" applyAlignment="1">
      <alignment horizontal="center"/>
    </xf>
    <xf numFmtId="0" fontId="2" fillId="0" borderId="0" xfId="0" applyFont="1" applyAlignment="1">
      <alignment/>
    </xf>
    <xf numFmtId="0" fontId="5" fillId="0" borderId="0" xfId="0" applyFont="1" applyAlignment="1">
      <alignment/>
    </xf>
    <xf numFmtId="0" fontId="6" fillId="34" borderId="10" xfId="0" applyFont="1" applyFill="1" applyBorder="1" applyAlignment="1">
      <alignment/>
    </xf>
    <xf numFmtId="0" fontId="0" fillId="33" borderId="10" xfId="0" applyFont="1" applyFill="1" applyBorder="1" applyAlignment="1">
      <alignment vertical="center"/>
    </xf>
    <xf numFmtId="0" fontId="0" fillId="33" borderId="10" xfId="0" applyFill="1" applyBorder="1" applyAlignment="1">
      <alignment horizontal="left"/>
    </xf>
    <xf numFmtId="0" fontId="0" fillId="33" borderId="10" xfId="0" applyFont="1" applyFill="1" applyBorder="1" applyAlignment="1">
      <alignment wrapText="1"/>
    </xf>
    <xf numFmtId="0" fontId="4" fillId="33" borderId="0" xfId="0" applyFont="1" applyFill="1" applyBorder="1" applyAlignment="1">
      <alignment vertical="center"/>
    </xf>
    <xf numFmtId="0" fontId="0" fillId="33" borderId="10" xfId="0" applyFont="1" applyFill="1" applyBorder="1" applyAlignment="1">
      <alignment/>
    </xf>
    <xf numFmtId="0" fontId="6" fillId="34"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1" xfId="0" applyFont="1" applyBorder="1" applyAlignment="1">
      <alignment/>
    </xf>
    <xf numFmtId="0" fontId="6" fillId="35" borderId="10" xfId="0" applyFont="1" applyFill="1" applyBorder="1" applyAlignment="1">
      <alignment/>
    </xf>
    <xf numFmtId="0" fontId="6" fillId="34" borderId="10" xfId="0" applyFont="1" applyFill="1" applyBorder="1" applyAlignment="1">
      <alignment horizontal="center" vertical="center" wrapText="1"/>
    </xf>
    <xf numFmtId="0" fontId="9" fillId="0" borderId="0" xfId="0" applyFont="1" applyFill="1" applyAlignment="1">
      <alignment/>
    </xf>
    <xf numFmtId="0" fontId="0" fillId="0" borderId="12" xfId="0" applyFill="1" applyBorder="1" applyAlignment="1">
      <alignment horizontal="center" vertical="center"/>
    </xf>
    <xf numFmtId="0" fontId="0" fillId="0" borderId="13" xfId="0" applyFont="1" applyFill="1" applyBorder="1" applyAlignment="1">
      <alignment/>
    </xf>
    <xf numFmtId="0" fontId="0" fillId="0" borderId="0" xfId="0" applyFont="1" applyFill="1" applyAlignment="1">
      <alignment/>
    </xf>
    <xf numFmtId="0" fontId="0" fillId="0" borderId="14" xfId="0" applyFill="1" applyBorder="1" applyAlignment="1">
      <alignment horizontal="center" vertical="center"/>
    </xf>
    <xf numFmtId="0" fontId="0" fillId="0" borderId="10" xfId="0" applyFont="1" applyFill="1" applyBorder="1" applyAlignment="1">
      <alignment horizontal="right"/>
    </xf>
    <xf numFmtId="0" fontId="0" fillId="0" borderId="10" xfId="0" applyFont="1" applyFill="1" applyBorder="1" applyAlignment="1">
      <alignment/>
    </xf>
    <xf numFmtId="0" fontId="0" fillId="0" borderId="14" xfId="0" applyBorder="1" applyAlignment="1">
      <alignment horizontal="center" vertical="center"/>
    </xf>
    <xf numFmtId="0" fontId="0" fillId="0" borderId="10" xfId="0" applyFill="1" applyBorder="1" applyAlignment="1">
      <alignment/>
    </xf>
    <xf numFmtId="0" fontId="0" fillId="0" borderId="15" xfId="0" applyBorder="1" applyAlignment="1">
      <alignment horizontal="center" vertical="center"/>
    </xf>
    <xf numFmtId="0" fontId="0" fillId="0" borderId="13" xfId="0" applyFill="1" applyBorder="1" applyAlignment="1">
      <alignment/>
    </xf>
    <xf numFmtId="0" fontId="0" fillId="33" borderId="0" xfId="0" applyFill="1" applyAlignment="1">
      <alignment/>
    </xf>
    <xf numFmtId="0" fontId="12" fillId="33" borderId="0" xfId="0" applyFont="1" applyFill="1" applyAlignment="1">
      <alignment/>
    </xf>
    <xf numFmtId="0" fontId="13" fillId="35" borderId="10" xfId="0" applyFont="1" applyFill="1" applyBorder="1" applyAlignment="1">
      <alignment horizontal="center" vertical="center"/>
    </xf>
    <xf numFmtId="0" fontId="14" fillId="0" borderId="10" xfId="0" applyFont="1" applyFill="1" applyBorder="1" applyAlignment="1">
      <alignment horizontal="center" vertical="center"/>
    </xf>
    <xf numFmtId="0" fontId="13" fillId="33" borderId="0" xfId="0" applyFont="1" applyFill="1" applyBorder="1" applyAlignment="1">
      <alignment horizontal="center" vertical="center"/>
    </xf>
    <xf numFmtId="0" fontId="14" fillId="33" borderId="0" xfId="0" applyFont="1" applyFill="1" applyBorder="1" applyAlignment="1">
      <alignment horizontal="center" vertical="center"/>
    </xf>
    <xf numFmtId="0" fontId="6" fillId="35" borderId="10" xfId="0" applyFont="1" applyFill="1" applyBorder="1" applyAlignment="1" applyProtection="1">
      <alignment horizontal="center"/>
      <protection/>
    </xf>
    <xf numFmtId="0" fontId="6" fillId="33" borderId="0" xfId="0" applyFont="1" applyFill="1" applyBorder="1" applyAlignment="1" applyProtection="1">
      <alignment horizontal="center"/>
      <protection/>
    </xf>
    <xf numFmtId="0" fontId="9" fillId="34" borderId="10" xfId="0" applyFont="1" applyFill="1" applyBorder="1" applyAlignment="1" applyProtection="1">
      <alignment horizontal="center" vertical="center"/>
      <protection hidden="1"/>
    </xf>
    <xf numFmtId="0" fontId="9" fillId="34" borderId="10" xfId="0" applyFont="1" applyFill="1" applyBorder="1" applyAlignment="1" applyProtection="1">
      <alignment horizontal="center"/>
      <protection/>
    </xf>
    <xf numFmtId="0" fontId="9" fillId="33" borderId="0" xfId="0" applyFont="1" applyFill="1" applyBorder="1" applyAlignment="1" applyProtection="1">
      <alignment horizontal="center"/>
      <protection/>
    </xf>
    <xf numFmtId="0" fontId="9" fillId="34" borderId="10" xfId="0" applyFont="1" applyFill="1" applyBorder="1" applyAlignment="1" applyProtection="1">
      <alignment horizontal="center"/>
      <protection hidden="1"/>
    </xf>
    <xf numFmtId="0" fontId="9" fillId="33" borderId="0" xfId="0" applyFont="1" applyFill="1" applyBorder="1" applyAlignment="1" applyProtection="1">
      <alignment horizontal="center"/>
      <protection hidden="1"/>
    </xf>
    <xf numFmtId="0" fontId="0" fillId="0" borderId="10" xfId="0" applyFont="1" applyFill="1" applyBorder="1" applyAlignment="1" applyProtection="1">
      <alignment horizontal="left" vertical="center"/>
      <protection hidden="1"/>
    </xf>
    <xf numFmtId="0" fontId="0" fillId="0" borderId="10" xfId="0" applyBorder="1" applyAlignment="1">
      <alignment horizontal="center" vertical="top" wrapText="1"/>
    </xf>
    <xf numFmtId="0" fontId="0" fillId="33" borderId="0" xfId="0" applyFill="1" applyBorder="1" applyAlignment="1">
      <alignment horizontal="center" vertical="top" wrapText="1"/>
    </xf>
    <xf numFmtId="0" fontId="0" fillId="36" borderId="10" xfId="0" applyFill="1" applyBorder="1" applyAlignment="1">
      <alignment horizontal="center" vertical="top" wrapText="1"/>
    </xf>
    <xf numFmtId="0" fontId="0" fillId="0" borderId="10" xfId="0" applyFont="1" applyBorder="1" applyAlignment="1" applyProtection="1">
      <alignment/>
      <protection hidden="1"/>
    </xf>
    <xf numFmtId="0" fontId="0" fillId="0" borderId="10" xfId="0" applyFill="1" applyBorder="1" applyAlignment="1">
      <alignment horizontal="center" vertical="top" wrapText="1"/>
    </xf>
    <xf numFmtId="0" fontId="0" fillId="33" borderId="11" xfId="0" applyFont="1" applyFill="1" applyBorder="1" applyAlignment="1">
      <alignment/>
    </xf>
    <xf numFmtId="0" fontId="0" fillId="36" borderId="11" xfId="0" applyFill="1" applyBorder="1" applyAlignment="1">
      <alignment horizontal="center" vertical="top" wrapText="1"/>
    </xf>
    <xf numFmtId="0" fontId="0" fillId="0" borderId="11" xfId="0" applyFill="1" applyBorder="1" applyAlignment="1">
      <alignment horizontal="center" vertical="top" wrapText="1"/>
    </xf>
    <xf numFmtId="0" fontId="0" fillId="0" borderId="10" xfId="0" applyFill="1" applyBorder="1" applyAlignment="1">
      <alignment horizontal="center"/>
    </xf>
    <xf numFmtId="0" fontId="0" fillId="0" borderId="11" xfId="0" applyFont="1" applyFill="1" applyBorder="1" applyAlignment="1">
      <alignment/>
    </xf>
    <xf numFmtId="0" fontId="0" fillId="0" borderId="11" xfId="0" applyFill="1" applyBorder="1" applyAlignment="1">
      <alignment horizontal="center"/>
    </xf>
    <xf numFmtId="0" fontId="9" fillId="0" borderId="10" xfId="0" applyFont="1" applyFill="1" applyBorder="1" applyAlignment="1">
      <alignment/>
    </xf>
    <xf numFmtId="0" fontId="9" fillId="34" borderId="10" xfId="0" applyFont="1" applyFill="1" applyBorder="1" applyAlignment="1">
      <alignment horizontal="center"/>
    </xf>
    <xf numFmtId="0" fontId="9" fillId="33" borderId="0" xfId="0" applyFont="1" applyFill="1" applyBorder="1" applyAlignment="1">
      <alignment horizontal="center"/>
    </xf>
    <xf numFmtId="0" fontId="9" fillId="34" borderId="10" xfId="0" applyFont="1" applyFill="1" applyBorder="1" applyAlignment="1" applyProtection="1">
      <alignment/>
      <protection hidden="1"/>
    </xf>
    <xf numFmtId="0" fontId="9" fillId="0" borderId="0" xfId="0" applyFont="1" applyFill="1" applyBorder="1" applyAlignment="1" applyProtection="1">
      <alignment/>
      <protection hidden="1"/>
    </xf>
    <xf numFmtId="0" fontId="9" fillId="0" borderId="0" xfId="0" applyFont="1" applyFill="1" applyBorder="1" applyAlignment="1">
      <alignment horizontal="center"/>
    </xf>
    <xf numFmtId="0" fontId="9" fillId="34" borderId="16" xfId="0" applyFont="1" applyFill="1" applyBorder="1" applyAlignment="1" applyProtection="1">
      <alignment horizontal="center" vertical="center"/>
      <protection hidden="1"/>
    </xf>
    <xf numFmtId="0" fontId="9" fillId="34" borderId="13" xfId="0" applyFont="1" applyFill="1" applyBorder="1" applyAlignment="1" applyProtection="1">
      <alignment horizontal="center"/>
      <protection hidden="1"/>
    </xf>
    <xf numFmtId="0" fontId="0" fillId="33" borderId="10" xfId="0" applyFont="1" applyFill="1" applyBorder="1" applyAlignment="1">
      <alignment horizontal="center"/>
    </xf>
    <xf numFmtId="0" fontId="0" fillId="0" borderId="11" xfId="0" applyBorder="1" applyAlignment="1">
      <alignment horizontal="center" vertical="top" wrapText="1"/>
    </xf>
    <xf numFmtId="0" fontId="9" fillId="34" borderId="17" xfId="0" applyFont="1" applyFill="1" applyBorder="1" applyAlignment="1" applyProtection="1">
      <alignment/>
      <protection hidden="1"/>
    </xf>
    <xf numFmtId="0" fontId="9" fillId="33" borderId="0" xfId="0" applyFont="1" applyFill="1" applyBorder="1" applyAlignment="1">
      <alignment/>
    </xf>
    <xf numFmtId="0" fontId="0" fillId="0" borderId="17" xfId="0" applyFont="1" applyFill="1" applyBorder="1" applyAlignment="1" applyProtection="1">
      <alignment/>
      <protection hidden="1"/>
    </xf>
    <xf numFmtId="0" fontId="0" fillId="0" borderId="10" xfId="0" applyFont="1" applyFill="1" applyBorder="1" applyAlignment="1">
      <alignment horizontal="center"/>
    </xf>
    <xf numFmtId="0" fontId="0" fillId="0" borderId="10" xfId="0" applyFont="1" applyFill="1" applyBorder="1" applyAlignment="1" applyProtection="1">
      <alignment horizontal="center"/>
      <protection/>
    </xf>
    <xf numFmtId="0" fontId="9"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9" fillId="0" borderId="11" xfId="0" applyFont="1" applyFill="1" applyBorder="1" applyAlignment="1" applyProtection="1">
      <alignment horizontal="center"/>
      <protection/>
    </xf>
    <xf numFmtId="0" fontId="9" fillId="36" borderId="11" xfId="0" applyFont="1" applyFill="1" applyBorder="1" applyAlignment="1" applyProtection="1">
      <alignment horizontal="center"/>
      <protection/>
    </xf>
    <xf numFmtId="0" fontId="0" fillId="0" borderId="17" xfId="0" applyFont="1" applyBorder="1" applyAlignment="1" applyProtection="1">
      <alignment/>
      <protection hidden="1"/>
    </xf>
    <xf numFmtId="0" fontId="0" fillId="36" borderId="17" xfId="0" applyFill="1" applyBorder="1" applyAlignment="1">
      <alignment horizontal="center" vertical="top" wrapText="1"/>
    </xf>
    <xf numFmtId="0" fontId="0" fillId="36" borderId="18" xfId="0" applyFill="1" applyBorder="1" applyAlignment="1">
      <alignment horizontal="center" vertical="top" wrapText="1"/>
    </xf>
    <xf numFmtId="0" fontId="0" fillId="36" borderId="19" xfId="0" applyFill="1" applyBorder="1" applyAlignment="1">
      <alignment horizontal="center" vertical="top" wrapText="1"/>
    </xf>
    <xf numFmtId="0" fontId="9" fillId="37" borderId="17" xfId="0" applyFont="1" applyFill="1" applyBorder="1" applyAlignment="1" applyProtection="1">
      <alignment/>
      <protection hidden="1"/>
    </xf>
    <xf numFmtId="0" fontId="9" fillId="33" borderId="0" xfId="0" applyFont="1" applyFill="1" applyBorder="1" applyAlignment="1" applyProtection="1">
      <alignment/>
      <protection hidden="1"/>
    </xf>
    <xf numFmtId="0" fontId="9" fillId="0" borderId="0" xfId="0" applyFont="1" applyAlignment="1">
      <alignment/>
    </xf>
    <xf numFmtId="0" fontId="0" fillId="0" borderId="19" xfId="0" applyFont="1" applyFill="1" applyBorder="1" applyAlignment="1">
      <alignment wrapText="1"/>
    </xf>
    <xf numFmtId="49" fontId="0" fillId="0" borderId="17" xfId="0" applyNumberFormat="1" applyFont="1" applyFill="1" applyBorder="1" applyAlignment="1">
      <alignment/>
    </xf>
    <xf numFmtId="0" fontId="0" fillId="0" borderId="20" xfId="0" applyFont="1" applyFill="1" applyBorder="1" applyAlignment="1">
      <alignment wrapText="1"/>
    </xf>
    <xf numFmtId="0" fontId="6" fillId="34" borderId="11" xfId="0" applyFont="1" applyFill="1" applyBorder="1" applyAlignment="1">
      <alignment horizontal="center" vertical="center" wrapText="1"/>
    </xf>
    <xf numFmtId="0" fontId="0" fillId="0" borderId="21" xfId="0" applyFont="1" applyFill="1" applyBorder="1" applyAlignment="1">
      <alignment wrapText="1"/>
    </xf>
    <xf numFmtId="0" fontId="0" fillId="0" borderId="0" xfId="0" applyNumberFormat="1" applyFont="1" applyFill="1" applyAlignment="1">
      <alignment/>
    </xf>
    <xf numFmtId="0" fontId="0" fillId="0" borderId="17" xfId="0" applyFont="1" applyFill="1" applyBorder="1" applyAlignment="1">
      <alignment horizontal="right"/>
    </xf>
    <xf numFmtId="0" fontId="0" fillId="0" borderId="22" xfId="0" applyFill="1" applyBorder="1" applyAlignment="1">
      <alignment/>
    </xf>
    <xf numFmtId="49" fontId="0" fillId="0" borderId="23" xfId="0" applyNumberFormat="1" applyFont="1" applyFill="1" applyBorder="1" applyAlignment="1">
      <alignment/>
    </xf>
    <xf numFmtId="0" fontId="0" fillId="0" borderId="24" xfId="0" applyFont="1" applyFill="1" applyBorder="1" applyAlignment="1">
      <alignment wrapText="1"/>
    </xf>
    <xf numFmtId="0" fontId="0" fillId="0" borderId="21" xfId="0" applyFont="1" applyFill="1" applyBorder="1" applyAlignment="1">
      <alignment/>
    </xf>
    <xf numFmtId="0" fontId="0" fillId="0" borderId="21" xfId="0" applyBorder="1" applyAlignment="1">
      <alignment/>
    </xf>
    <xf numFmtId="0" fontId="0" fillId="0" borderId="25" xfId="0" applyFont="1" applyFill="1" applyBorder="1" applyAlignment="1">
      <alignment wrapText="1"/>
    </xf>
    <xf numFmtId="0" fontId="0" fillId="0" borderId="16" xfId="0" applyFont="1" applyFill="1" applyBorder="1" applyAlignment="1" applyProtection="1">
      <alignment horizontal="left" vertical="center"/>
      <protection hidden="1"/>
    </xf>
    <xf numFmtId="0" fontId="9" fillId="34" borderId="16" xfId="0" applyFont="1" applyFill="1" applyBorder="1" applyAlignment="1" applyProtection="1">
      <alignment horizontal="center"/>
      <protection hidden="1"/>
    </xf>
    <xf numFmtId="0" fontId="0" fillId="0" borderId="17" xfId="0" applyFont="1" applyFill="1" applyBorder="1" applyAlignment="1" applyProtection="1">
      <alignment horizontal="center"/>
      <protection/>
    </xf>
    <xf numFmtId="0" fontId="6" fillId="0" borderId="26" xfId="0" applyFont="1" applyFill="1" applyBorder="1" applyAlignment="1" applyProtection="1">
      <alignment/>
      <protection/>
    </xf>
    <xf numFmtId="0" fontId="9" fillId="0" borderId="26" xfId="0" applyFont="1" applyFill="1" applyBorder="1" applyAlignment="1" applyProtection="1">
      <alignment/>
      <protection/>
    </xf>
    <xf numFmtId="0" fontId="9" fillId="0" borderId="26" xfId="0" applyFont="1" applyFill="1" applyBorder="1" applyAlignment="1" applyProtection="1">
      <alignment horizontal="center"/>
      <protection hidden="1"/>
    </xf>
    <xf numFmtId="0" fontId="9" fillId="0" borderId="26" xfId="0" applyFont="1" applyFill="1" applyBorder="1" applyAlignment="1" applyProtection="1">
      <alignment horizontal="center"/>
      <protection/>
    </xf>
    <xf numFmtId="0" fontId="9" fillId="0" borderId="26" xfId="0" applyFont="1" applyFill="1" applyBorder="1" applyAlignment="1">
      <alignment/>
    </xf>
    <xf numFmtId="0" fontId="0" fillId="0" borderId="27" xfId="0" applyFill="1" applyBorder="1" applyAlignment="1">
      <alignment horizontal="center" wrapText="1"/>
    </xf>
    <xf numFmtId="0" fontId="11" fillId="38" borderId="27" xfId="0" applyFont="1" applyFill="1" applyBorder="1" applyAlignment="1">
      <alignment horizontal="center" vertical="center" wrapText="1"/>
    </xf>
    <xf numFmtId="0" fontId="4" fillId="38" borderId="27" xfId="0" applyFont="1" applyFill="1" applyBorder="1" applyAlignment="1">
      <alignment horizontal="left" vertical="center" wrapText="1" indent="1"/>
    </xf>
    <xf numFmtId="0" fontId="6" fillId="35" borderId="10" xfId="0" applyFont="1" applyFill="1" applyBorder="1" applyAlignment="1">
      <alignment horizontal="center"/>
    </xf>
    <xf numFmtId="0" fontId="0" fillId="33" borderId="0" xfId="0" applyFill="1" applyBorder="1" applyAlignment="1">
      <alignment horizontal="center"/>
    </xf>
    <xf numFmtId="0" fontId="6" fillId="0" borderId="27" xfId="0" applyFont="1" applyFill="1" applyBorder="1" applyAlignment="1">
      <alignment horizontal="center" vertical="center" wrapText="1"/>
    </xf>
    <xf numFmtId="0" fontId="4" fillId="38" borderId="0" xfId="0" applyFont="1" applyFill="1" applyBorder="1" applyAlignment="1">
      <alignment horizontal="left" vertical="center" wrapText="1" indent="1"/>
    </xf>
    <xf numFmtId="0" fontId="1" fillId="38" borderId="0" xfId="0" applyFont="1" applyFill="1" applyBorder="1" applyAlignment="1">
      <alignment horizontal="center"/>
    </xf>
    <xf numFmtId="49" fontId="0" fillId="0" borderId="10" xfId="0" applyNumberFormat="1" applyFont="1" applyBorder="1" applyAlignment="1">
      <alignment horizontal="center"/>
    </xf>
    <xf numFmtId="0" fontId="0" fillId="0" borderId="10" xfId="0" applyBorder="1" applyAlignment="1">
      <alignment horizontal="center"/>
    </xf>
    <xf numFmtId="0" fontId="1" fillId="38" borderId="0" xfId="0" applyFont="1" applyFill="1" applyBorder="1" applyAlignment="1">
      <alignment horizontal="left" vertical="center" wrapText="1" indent="1"/>
    </xf>
    <xf numFmtId="0" fontId="0" fillId="33" borderId="28" xfId="0" applyFont="1" applyFill="1" applyBorder="1" applyAlignment="1">
      <alignment horizontal="center"/>
    </xf>
    <xf numFmtId="0" fontId="7" fillId="34" borderId="11" xfId="0" applyFont="1" applyFill="1" applyBorder="1" applyAlignment="1">
      <alignment horizontal="center"/>
    </xf>
    <xf numFmtId="0" fontId="7" fillId="0" borderId="27" xfId="0" applyFont="1" applyFill="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49" fontId="0" fillId="0" borderId="10" xfId="0" applyNumberFormat="1" applyBorder="1" applyAlignment="1">
      <alignment/>
    </xf>
    <xf numFmtId="0" fontId="0" fillId="0" borderId="18" xfId="0" applyBorder="1" applyAlignment="1">
      <alignment horizontal="center"/>
    </xf>
    <xf numFmtId="0" fontId="7" fillId="34" borderId="10" xfId="0" applyFont="1" applyFill="1" applyBorder="1" applyAlignment="1">
      <alignment horizontal="center"/>
    </xf>
    <xf numFmtId="49" fontId="0" fillId="0" borderId="10" xfId="0" applyNumberFormat="1" applyBorder="1" applyAlignment="1">
      <alignment horizontal="center"/>
    </xf>
    <xf numFmtId="0" fontId="4" fillId="38" borderId="0" xfId="0" applyFont="1" applyFill="1" applyBorder="1" applyAlignment="1">
      <alignment horizontal="left" vertical="center" indent="1"/>
    </xf>
    <xf numFmtId="0" fontId="8" fillId="0" borderId="10" xfId="46" applyNumberFormat="1" applyFont="1" applyFill="1" applyBorder="1" applyAlignment="1" applyProtection="1">
      <alignment horizontal="center"/>
      <protection/>
    </xf>
    <xf numFmtId="0" fontId="0" fillId="35" borderId="0" xfId="0" applyFill="1" applyBorder="1" applyAlignment="1">
      <alignment horizontal="center"/>
    </xf>
    <xf numFmtId="0" fontId="3" fillId="34" borderId="0" xfId="0" applyFont="1" applyFill="1" applyBorder="1" applyAlignment="1">
      <alignment horizontal="center" vertical="center"/>
    </xf>
    <xf numFmtId="0" fontId="0" fillId="33" borderId="0" xfId="0" applyFill="1" applyBorder="1" applyAlignment="1">
      <alignment/>
    </xf>
    <xf numFmtId="0" fontId="0" fillId="33" borderId="29" xfId="0" applyFill="1" applyBorder="1" applyAlignment="1">
      <alignment horizontal="center"/>
    </xf>
    <xf numFmtId="0" fontId="9" fillId="37" borderId="10" xfId="0" applyFont="1" applyFill="1" applyBorder="1" applyAlignment="1">
      <alignment horizontal="center"/>
    </xf>
    <xf numFmtId="0" fontId="0" fillId="0" borderId="28" xfId="0" applyBorder="1" applyAlignment="1">
      <alignment horizontal="center"/>
    </xf>
    <xf numFmtId="0" fontId="0" fillId="0" borderId="10" xfId="0" applyBorder="1" applyAlignment="1">
      <alignment horizontal="center" vertical="top" wrapText="1"/>
    </xf>
    <xf numFmtId="0" fontId="0" fillId="36" borderId="10" xfId="0" applyFill="1" applyBorder="1" applyAlignment="1">
      <alignment horizontal="center" vertical="top" wrapText="1"/>
    </xf>
    <xf numFmtId="0" fontId="6" fillId="35" borderId="10" xfId="0" applyFont="1" applyFill="1" applyBorder="1" applyAlignment="1" applyProtection="1">
      <alignment horizontal="center"/>
      <protection/>
    </xf>
    <xf numFmtId="0" fontId="0" fillId="0" borderId="10" xfId="0" applyFont="1" applyFill="1" applyBorder="1" applyAlignment="1">
      <alignment horizontal="center"/>
    </xf>
    <xf numFmtId="0" fontId="9" fillId="34" borderId="16" xfId="0" applyFont="1" applyFill="1" applyBorder="1" applyAlignment="1" applyProtection="1">
      <alignment horizontal="center" vertical="center"/>
      <protection hidden="1"/>
    </xf>
    <xf numFmtId="0" fontId="9" fillId="34" borderId="13" xfId="0" applyFont="1" applyFill="1" applyBorder="1" applyAlignment="1" applyProtection="1">
      <alignment horizontal="center"/>
      <protection/>
    </xf>
    <xf numFmtId="0" fontId="9" fillId="34" borderId="10" xfId="0" applyFont="1" applyFill="1" applyBorder="1" applyAlignment="1">
      <alignment horizontal="center"/>
    </xf>
    <xf numFmtId="0" fontId="9" fillId="34" borderId="10" xfId="0" applyFont="1" applyFill="1" applyBorder="1" applyAlignment="1" applyProtection="1">
      <alignment horizontal="center" vertical="center"/>
      <protection hidden="1"/>
    </xf>
    <xf numFmtId="0" fontId="9" fillId="34" borderId="10" xfId="0" applyFont="1" applyFill="1" applyBorder="1" applyAlignment="1" applyProtection="1">
      <alignment horizontal="center"/>
      <protection/>
    </xf>
    <xf numFmtId="0" fontId="7" fillId="36" borderId="10" xfId="0" applyFont="1" applyFill="1" applyBorder="1" applyAlignment="1">
      <alignment horizontal="center" vertical="top" wrapText="1"/>
    </xf>
    <xf numFmtId="0" fontId="9" fillId="34" borderId="17" xfId="0" applyFont="1" applyFill="1" applyBorder="1" applyAlignment="1">
      <alignment horizontal="center"/>
    </xf>
    <xf numFmtId="0" fontId="9" fillId="34" borderId="18" xfId="0" applyFont="1" applyFill="1" applyBorder="1" applyAlignment="1">
      <alignment horizontal="center"/>
    </xf>
    <xf numFmtId="0" fontId="9" fillId="34" borderId="30" xfId="0" applyFont="1" applyFill="1" applyBorder="1" applyAlignment="1">
      <alignment horizontal="center"/>
    </xf>
    <xf numFmtId="0" fontId="6" fillId="35" borderId="17" xfId="0" applyFont="1" applyFill="1" applyBorder="1" applyAlignment="1" applyProtection="1">
      <alignment horizontal="center"/>
      <protection/>
    </xf>
    <xf numFmtId="0" fontId="6" fillId="35" borderId="18" xfId="0" applyFont="1" applyFill="1" applyBorder="1" applyAlignment="1" applyProtection="1">
      <alignment horizontal="center"/>
      <protection/>
    </xf>
    <xf numFmtId="0" fontId="6" fillId="35" borderId="30" xfId="0" applyFont="1" applyFill="1" applyBorder="1" applyAlignment="1" applyProtection="1">
      <alignment horizontal="center"/>
      <protection/>
    </xf>
    <xf numFmtId="0" fontId="9" fillId="34" borderId="17" xfId="0" applyFont="1" applyFill="1" applyBorder="1" applyAlignment="1" applyProtection="1">
      <alignment horizontal="center"/>
      <protection/>
    </xf>
    <xf numFmtId="0" fontId="9" fillId="34" borderId="18" xfId="0" applyFont="1" applyFill="1" applyBorder="1" applyAlignment="1" applyProtection="1">
      <alignment horizontal="center"/>
      <protection/>
    </xf>
    <xf numFmtId="0" fontId="9" fillId="34" borderId="30" xfId="0" applyFont="1" applyFill="1" applyBorder="1" applyAlignment="1" applyProtection="1">
      <alignment horizontal="center"/>
      <protection/>
    </xf>
    <xf numFmtId="0" fontId="0" fillId="0" borderId="0" xfId="0" applyBorder="1" applyAlignment="1">
      <alignment horizontal="center"/>
    </xf>
    <xf numFmtId="0" fontId="6" fillId="35" borderId="27" xfId="0" applyFont="1" applyFill="1" applyBorder="1" applyAlignment="1" applyProtection="1">
      <alignment horizont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xcel Built-in Normal"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10">
    <dxf>
      <fill>
        <patternFill patternType="solid">
          <fgColor indexed="26"/>
          <bgColor indexed="43"/>
        </patternFill>
      </fill>
    </dxf>
    <dxf>
      <font>
        <b val="0"/>
        <color indexed="20"/>
      </font>
      <fill>
        <patternFill patternType="solid">
          <fgColor indexed="29"/>
          <bgColor indexed="45"/>
        </patternFill>
      </fill>
    </dxf>
    <dxf>
      <fill>
        <patternFill patternType="solid">
          <fgColor indexed="26"/>
          <bgColor indexed="43"/>
        </patternFill>
      </fill>
    </dxf>
    <dxf>
      <font>
        <b val="0"/>
        <color indexed="20"/>
      </font>
      <fill>
        <patternFill patternType="solid">
          <fgColor indexed="29"/>
          <bgColor indexed="45"/>
        </patternFill>
      </fill>
    </dxf>
    <dxf>
      <fill>
        <patternFill patternType="solid">
          <fgColor indexed="26"/>
          <bgColor indexed="43"/>
        </patternFill>
      </fill>
    </dxf>
    <dxf>
      <font>
        <b val="0"/>
        <color indexed="20"/>
      </font>
      <fill>
        <patternFill patternType="solid">
          <fgColor indexed="29"/>
          <bgColor indexed="45"/>
        </patternFill>
      </fill>
    </dxf>
    <dxf>
      <fill>
        <patternFill patternType="solid">
          <fgColor indexed="26"/>
          <bgColor indexed="43"/>
        </patternFill>
      </fill>
    </dxf>
    <dxf>
      <font>
        <b val="0"/>
        <color indexed="20"/>
      </font>
      <fill>
        <patternFill patternType="solid">
          <fgColor indexed="29"/>
          <bgColor indexed="45"/>
        </patternFill>
      </fill>
    </dxf>
    <dxf>
      <fill>
        <patternFill patternType="solid">
          <fgColor indexed="26"/>
          <bgColor indexed="43"/>
        </patternFill>
      </fill>
    </dxf>
    <dxf>
      <font>
        <b val="0"/>
        <color indexed="20"/>
      </font>
      <fill>
        <patternFill patternType="solid">
          <fgColor indexed="29"/>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xdr:row>
      <xdr:rowOff>9525</xdr:rowOff>
    </xdr:from>
    <xdr:to>
      <xdr:col>6</xdr:col>
      <xdr:colOff>1323975</xdr:colOff>
      <xdr:row>4</xdr:row>
      <xdr:rowOff>190500</xdr:rowOff>
    </xdr:to>
    <xdr:pic>
      <xdr:nvPicPr>
        <xdr:cNvPr id="1" name="Picture 1"/>
        <xdr:cNvPicPr preferRelativeResize="1">
          <a:picLocks noChangeAspect="1"/>
        </xdr:cNvPicPr>
      </xdr:nvPicPr>
      <xdr:blipFill>
        <a:blip r:embed="rId1"/>
        <a:stretch>
          <a:fillRect/>
        </a:stretch>
      </xdr:blipFill>
      <xdr:spPr>
        <a:xfrm>
          <a:off x="742950" y="247650"/>
          <a:ext cx="7781925" cy="6667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876300</xdr:colOff>
      <xdr:row>0</xdr:row>
      <xdr:rowOff>0</xdr:rowOff>
    </xdr:from>
    <xdr:to>
      <xdr:col>13</xdr:col>
      <xdr:colOff>142875</xdr:colOff>
      <xdr:row>3</xdr:row>
      <xdr:rowOff>152400</xdr:rowOff>
    </xdr:to>
    <xdr:pic>
      <xdr:nvPicPr>
        <xdr:cNvPr id="1" name="Picture 1"/>
        <xdr:cNvPicPr preferRelativeResize="1">
          <a:picLocks noChangeAspect="1"/>
        </xdr:cNvPicPr>
      </xdr:nvPicPr>
      <xdr:blipFill>
        <a:blip r:embed="rId1"/>
        <a:stretch>
          <a:fillRect/>
        </a:stretch>
      </xdr:blipFill>
      <xdr:spPr>
        <a:xfrm>
          <a:off x="1485900" y="0"/>
          <a:ext cx="9448800" cy="6381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62"/>
    <pageSetUpPr fitToPage="1"/>
  </sheetPr>
  <dimension ref="A1:BA430"/>
  <sheetViews>
    <sheetView tabSelected="1" zoomScale="90" zoomScaleNormal="90" zoomScalePageLayoutView="0" workbookViewId="0" topLeftCell="A1">
      <selection activeCell="B30" sqref="B30"/>
    </sheetView>
  </sheetViews>
  <sheetFormatPr defaultColWidth="9.140625" defaultRowHeight="12.75"/>
  <cols>
    <col min="1" max="1" width="4.00390625" style="0" customWidth="1"/>
    <col min="2" max="2" width="38.421875" style="0" customWidth="1"/>
    <col min="3" max="3" width="11.00390625" style="0" customWidth="1"/>
    <col min="4" max="4" width="12.28125" style="0" customWidth="1"/>
    <col min="5" max="5" width="29.8515625" style="0" customWidth="1"/>
    <col min="6" max="6" width="12.421875" style="0" customWidth="1"/>
    <col min="7" max="7" width="25.140625" style="0" customWidth="1"/>
    <col min="8" max="8" width="22.421875" style="0" customWidth="1"/>
    <col min="9" max="9" width="17.421875" style="0" customWidth="1"/>
    <col min="10" max="10" width="29.421875" style="0" customWidth="1"/>
    <col min="11" max="11" width="3.140625" style="0" customWidth="1"/>
    <col min="12" max="12" width="24.00390625" style="0" customWidth="1"/>
    <col min="13" max="13" width="3.28125" style="0" customWidth="1"/>
    <col min="14" max="14" width="2.28125" style="0" customWidth="1"/>
    <col min="15" max="15" width="2.421875" style="0" customWidth="1"/>
    <col min="16" max="16" width="2.00390625" style="0" customWidth="1"/>
    <col min="17" max="17" width="3.00390625" style="0" customWidth="1"/>
    <col min="18" max="18" width="4.00390625" style="0" customWidth="1"/>
  </cols>
  <sheetData>
    <row r="1" spans="1:12" ht="18.75">
      <c r="A1" s="103"/>
      <c r="B1" s="103"/>
      <c r="C1" s="103"/>
      <c r="D1" s="103"/>
      <c r="E1" s="103"/>
      <c r="F1" s="103"/>
      <c r="G1" s="103"/>
      <c r="H1" s="103"/>
      <c r="I1" s="106" t="str">
        <f>IF('My order'!H2="English","HOW TO USE THIS SHEET","MODE D'EMPLOI")</f>
        <v>HOW TO USE THIS SHEET</v>
      </c>
      <c r="J1" s="106"/>
      <c r="K1" s="106"/>
      <c r="L1" s="2" t="s">
        <v>376</v>
      </c>
    </row>
    <row r="2" spans="1:11" ht="12.75">
      <c r="A2" s="103"/>
      <c r="B2" s="121"/>
      <c r="C2" s="121"/>
      <c r="D2" s="121"/>
      <c r="E2" s="121"/>
      <c r="F2" s="121"/>
      <c r="G2" s="121"/>
      <c r="H2" s="122" t="s">
        <v>0</v>
      </c>
      <c r="I2" s="123"/>
      <c r="J2" s="123"/>
      <c r="K2" s="123"/>
    </row>
    <row r="3" spans="1:11" ht="12.75">
      <c r="A3" s="103"/>
      <c r="B3" s="121"/>
      <c r="C3" s="121"/>
      <c r="D3" s="121"/>
      <c r="E3" s="121"/>
      <c r="F3" s="121"/>
      <c r="G3" s="121"/>
      <c r="H3" s="122"/>
      <c r="I3" s="123"/>
      <c r="J3" s="123"/>
      <c r="K3" s="123"/>
    </row>
    <row r="4" spans="1:11" ht="12.75">
      <c r="A4" s="103"/>
      <c r="B4" s="121"/>
      <c r="C4" s="121"/>
      <c r="D4" s="121"/>
      <c r="E4" s="121"/>
      <c r="F4" s="121"/>
      <c r="G4" s="121"/>
      <c r="H4" s="122"/>
      <c r="I4" s="119" t="str">
        <f>IF('My order'!H2="English","1/ Choisissez le langage en cliquant sur 'English'","1/ Chose the language by clicking on 'Français'")</f>
        <v>1/ Choisissez le langage en cliquant sur 'English'</v>
      </c>
      <c r="J4" s="119"/>
      <c r="K4" s="119"/>
    </row>
    <row r="5" spans="1:18" ht="15" customHeight="1">
      <c r="A5" s="103"/>
      <c r="B5" s="121"/>
      <c r="C5" s="121"/>
      <c r="D5" s="121"/>
      <c r="E5" s="121"/>
      <c r="F5" s="121"/>
      <c r="G5" s="121"/>
      <c r="H5" s="122"/>
      <c r="I5" s="119"/>
      <c r="J5" s="119"/>
      <c r="K5" s="119"/>
      <c r="R5" s="3"/>
    </row>
    <row r="6" spans="1:11" ht="12.75">
      <c r="A6" s="103"/>
      <c r="B6" s="124"/>
      <c r="C6" s="124"/>
      <c r="D6" s="124"/>
      <c r="E6" s="124"/>
      <c r="F6" s="124"/>
      <c r="G6" s="124"/>
      <c r="H6" s="124"/>
      <c r="I6" s="103"/>
      <c r="J6" s="103"/>
      <c r="K6" s="103"/>
    </row>
    <row r="7" spans="1:11" ht="12.75">
      <c r="A7" s="103"/>
      <c r="B7" s="124"/>
      <c r="C7" s="124"/>
      <c r="D7" s="124"/>
      <c r="E7" s="124"/>
      <c r="F7" s="124"/>
      <c r="G7" s="124"/>
      <c r="H7" s="124"/>
      <c r="I7" s="103"/>
      <c r="J7" s="103"/>
      <c r="K7" s="103"/>
    </row>
    <row r="8" spans="1:11" ht="12.75">
      <c r="A8" s="103"/>
      <c r="B8" s="4" t="str">
        <f>IF('My order'!H2="English","Contact Info","Info du Contact")</f>
        <v>Contact Info</v>
      </c>
      <c r="C8" s="117"/>
      <c r="D8" s="117"/>
      <c r="E8" s="117"/>
      <c r="F8" s="117"/>
      <c r="G8" s="117"/>
      <c r="H8" s="117"/>
      <c r="I8" s="103"/>
      <c r="J8" s="103"/>
      <c r="K8" s="103"/>
    </row>
    <row r="9" spans="1:11" ht="12.75" customHeight="1">
      <c r="A9" s="103"/>
      <c r="B9" s="5" t="str">
        <f>IF(H2="English","First Name","Prénom")</f>
        <v>First Name</v>
      </c>
      <c r="C9" s="113"/>
      <c r="D9" s="113"/>
      <c r="E9" s="113"/>
      <c r="F9" s="5" t="str">
        <f>IF(H2="English","Address","Adresse")</f>
        <v>Address</v>
      </c>
      <c r="G9" s="108"/>
      <c r="H9" s="108"/>
      <c r="I9" s="119" t="str">
        <f>IF('My order'!H2="English","2/ Type in your details","2/ Remplissez vos infos de contact")</f>
        <v>2/ Type in your details</v>
      </c>
      <c r="J9" s="119"/>
      <c r="K9" s="119"/>
    </row>
    <row r="10" spans="1:11" ht="12.75" customHeight="1">
      <c r="A10" s="103"/>
      <c r="B10" s="5" t="str">
        <f>IF(H2="English","Last Name","Nom")</f>
        <v>Last Name</v>
      </c>
      <c r="C10" s="113"/>
      <c r="D10" s="113"/>
      <c r="E10" s="113"/>
      <c r="F10" s="6" t="str">
        <f>IF(H2="English","Postcode","Code Postal")</f>
        <v>Postcode</v>
      </c>
      <c r="G10" s="118"/>
      <c r="H10" s="118"/>
      <c r="I10" s="119"/>
      <c r="J10" s="119"/>
      <c r="K10" s="119"/>
    </row>
    <row r="11" spans="1:11" ht="12.75" customHeight="1">
      <c r="A11" s="103"/>
      <c r="B11" s="5" t="str">
        <f>IF(H2="English","Team Name","Nom d'équipe")</f>
        <v>Team Name</v>
      </c>
      <c r="C11" s="113"/>
      <c r="D11" s="113"/>
      <c r="E11" s="113"/>
      <c r="F11" s="6" t="str">
        <f>IF(H2="English","City","Ville")</f>
        <v>City</v>
      </c>
      <c r="G11" s="108"/>
      <c r="H11" s="108"/>
      <c r="I11" s="119"/>
      <c r="J11" s="119"/>
      <c r="K11" s="119"/>
    </row>
    <row r="12" spans="1:11" ht="12.75" customHeight="1">
      <c r="A12" s="103"/>
      <c r="B12" s="5" t="s">
        <v>1</v>
      </c>
      <c r="C12" s="120"/>
      <c r="D12" s="120"/>
      <c r="E12" s="120"/>
      <c r="F12" s="6" t="str">
        <f>IF(H2="English","Country","Pays")</f>
        <v>Country</v>
      </c>
      <c r="G12" s="108"/>
      <c r="H12" s="108"/>
      <c r="I12" s="119"/>
      <c r="J12" s="119"/>
      <c r="K12" s="119"/>
    </row>
    <row r="13" spans="1:11" ht="12.75" customHeight="1">
      <c r="A13" s="103"/>
      <c r="B13" s="5" t="s">
        <v>2</v>
      </c>
      <c r="C13" s="107"/>
      <c r="D13" s="107"/>
      <c r="E13" s="107"/>
      <c r="F13" s="7" t="s">
        <v>3</v>
      </c>
      <c r="G13" s="115"/>
      <c r="H13" s="115"/>
      <c r="I13" s="119"/>
      <c r="J13" s="119"/>
      <c r="K13" s="119"/>
    </row>
    <row r="14" spans="1:11" ht="12.75" customHeight="1">
      <c r="A14" s="103"/>
      <c r="B14" s="116"/>
      <c r="C14" s="116"/>
      <c r="D14" s="116"/>
      <c r="E14" s="116"/>
      <c r="F14" s="116"/>
      <c r="G14" s="116"/>
      <c r="H14" s="116"/>
      <c r="I14" s="119"/>
      <c r="J14" s="119"/>
      <c r="K14" s="119"/>
    </row>
    <row r="15" spans="1:11" ht="12.75" customHeight="1">
      <c r="A15" s="103"/>
      <c r="B15" s="4" t="str">
        <f>IF(H2="English","Shipping Information (if different address)","Informations d'envoi (si adresse différente)")</f>
        <v>Shipping Information (if different address)</v>
      </c>
      <c r="C15" s="117"/>
      <c r="D15" s="117"/>
      <c r="E15" s="117"/>
      <c r="F15" s="117"/>
      <c r="G15" s="117"/>
      <c r="H15" s="117"/>
      <c r="I15" s="8"/>
      <c r="J15" s="8"/>
      <c r="K15" s="8"/>
    </row>
    <row r="16" spans="1:11" ht="12.75" customHeight="1">
      <c r="A16" s="103"/>
      <c r="B16" s="9" t="str">
        <f>IF(H2="English","First Name","Prénom")</f>
        <v>First Name</v>
      </c>
      <c r="C16" s="113"/>
      <c r="D16" s="113"/>
      <c r="E16" s="113"/>
      <c r="F16" s="6" t="str">
        <f>IF(H2="English","Address","Adresse")</f>
        <v>Address</v>
      </c>
      <c r="G16" s="108"/>
      <c r="H16" s="108"/>
      <c r="I16" s="8"/>
      <c r="J16" s="8"/>
      <c r="K16" s="8"/>
    </row>
    <row r="17" spans="1:11" ht="12.75" customHeight="1">
      <c r="A17" s="103"/>
      <c r="B17" s="9" t="str">
        <f>IF(H2="English","Last Name","Nom")</f>
        <v>Last Name</v>
      </c>
      <c r="C17" s="113"/>
      <c r="D17" s="113"/>
      <c r="E17" s="113"/>
      <c r="F17" s="6" t="str">
        <f>IF(H2="English","Postcode","Code Postal")</f>
        <v>Postcode</v>
      </c>
      <c r="G17" s="118"/>
      <c r="H17" s="118"/>
      <c r="I17" s="8"/>
      <c r="J17" s="8"/>
      <c r="K17" s="8"/>
    </row>
    <row r="18" spans="1:11" ht="12.75" customHeight="1">
      <c r="A18" s="103"/>
      <c r="B18" s="9" t="s">
        <v>3</v>
      </c>
      <c r="C18" s="107"/>
      <c r="D18" s="107"/>
      <c r="E18" s="107"/>
      <c r="F18" s="6" t="str">
        <f>IF(H2="English","City","Ville")</f>
        <v>City</v>
      </c>
      <c r="G18" s="108"/>
      <c r="H18" s="108"/>
      <c r="I18" s="109" t="str">
        <f>IF('My order'!H2="English","⚠ Please fill in and check this form carefully. Your order and personalised data will be printed exactly as entered here. No exchanges or returns will be accepted for any input errors","⚠ Merci de remplir et vérifier ce formulaire avec précaution. Votre commande sera imprimée scrupuleusement selon les détails fournis. Aucun échange ou retour ne sera accepté pour des erreurs de saisies")</f>
        <v>⚠ Please fill in and check this form carefully. Your order and personalised data will be printed exactly as entered here. No exchanges or returns will be accepted for any input errors</v>
      </c>
      <c r="J18" s="109"/>
      <c r="K18" s="109"/>
    </row>
    <row r="19" spans="1:11" ht="12.75">
      <c r="A19" s="103"/>
      <c r="B19" s="110"/>
      <c r="C19" s="110"/>
      <c r="D19" s="110"/>
      <c r="E19" s="110"/>
      <c r="F19" s="110"/>
      <c r="G19" s="110"/>
      <c r="H19" s="110"/>
      <c r="I19" s="109"/>
      <c r="J19" s="109"/>
      <c r="K19" s="109"/>
    </row>
    <row r="20" spans="1:11" ht="12.75" customHeight="1">
      <c r="A20" s="103"/>
      <c r="B20" s="110"/>
      <c r="C20" s="110"/>
      <c r="D20" s="110"/>
      <c r="E20" s="110"/>
      <c r="F20" s="110"/>
      <c r="G20" s="110"/>
      <c r="H20" s="110"/>
      <c r="I20" s="109"/>
      <c r="J20" s="109"/>
      <c r="K20" s="109"/>
    </row>
    <row r="21" spans="1:11" ht="12.75" customHeight="1">
      <c r="A21" s="103"/>
      <c r="B21" s="10" t="str">
        <f>IF(H2="English","Order Summary","Récap de la Commande")</f>
        <v>Order Summary</v>
      </c>
      <c r="C21" s="111"/>
      <c r="D21" s="111"/>
      <c r="E21" s="111"/>
      <c r="F21" s="112"/>
      <c r="G21" s="112"/>
      <c r="H21" s="112"/>
      <c r="I21" s="109"/>
      <c r="J21" s="109"/>
      <c r="K21" s="109"/>
    </row>
    <row r="22" spans="1:11" ht="12.75" customHeight="1">
      <c r="A22" s="103"/>
      <c r="B22" s="11" t="str">
        <f>IF(H2="English","Number of tops","Nombre de hauts")</f>
        <v>Number of tops</v>
      </c>
      <c r="C22" s="113">
        <f>Summary!C38+Summary!L38+Summary!T38</f>
        <v>0</v>
      </c>
      <c r="D22" s="113"/>
      <c r="E22" s="113"/>
      <c r="F22" s="112"/>
      <c r="G22" s="112"/>
      <c r="H22" s="112"/>
      <c r="I22" s="109"/>
      <c r="J22" s="109"/>
      <c r="K22" s="109"/>
    </row>
    <row r="23" spans="1:11" ht="12.75" customHeight="1">
      <c r="A23" s="103"/>
      <c r="B23" s="12" t="str">
        <f>IF(H2="English","Number of bottoms","Nombre de bas")</f>
        <v>Number of bottoms</v>
      </c>
      <c r="C23" s="108">
        <f>Summary!C49+Summary!L49</f>
        <v>0</v>
      </c>
      <c r="D23" s="108"/>
      <c r="E23" s="108"/>
      <c r="F23" s="112"/>
      <c r="G23" s="112"/>
      <c r="H23" s="112"/>
      <c r="I23" s="109"/>
      <c r="J23" s="109"/>
      <c r="K23" s="109"/>
    </row>
    <row r="24" spans="1:11" ht="12.75" customHeight="1">
      <c r="A24" s="103"/>
      <c r="B24" s="11" t="str">
        <f>IF(H2="English","Number of shorts","Nombre de shorts")</f>
        <v>Number of shorts</v>
      </c>
      <c r="C24" s="108">
        <f>Summary!C61</f>
        <v>0</v>
      </c>
      <c r="D24" s="108"/>
      <c r="E24" s="108"/>
      <c r="F24" s="112"/>
      <c r="G24" s="112"/>
      <c r="H24" s="112"/>
      <c r="I24" s="109"/>
      <c r="J24" s="109"/>
      <c r="K24" s="109"/>
    </row>
    <row r="25" spans="1:11" ht="12.75" customHeight="1">
      <c r="A25" s="103"/>
      <c r="B25" s="13" t="str">
        <f>IF(H2="English","Number of accessories &amp; flags","Nombre d'accessoires &amp; drapeaux")</f>
        <v>Number of accessories &amp; flags</v>
      </c>
      <c r="C25" s="114">
        <f>Summary!T63+Summary!X51+Summary!C67</f>
        <v>0</v>
      </c>
      <c r="D25" s="114"/>
      <c r="E25" s="114"/>
      <c r="F25" s="112"/>
      <c r="G25" s="112"/>
      <c r="H25" s="112"/>
      <c r="I25" s="109"/>
      <c r="J25" s="109"/>
      <c r="K25" s="109"/>
    </row>
    <row r="26" spans="1:11" ht="12.75" customHeight="1">
      <c r="A26" s="103"/>
      <c r="B26" s="14" t="s">
        <v>4</v>
      </c>
      <c r="C26" s="102">
        <f>SUM(C22:C25)</f>
        <v>0</v>
      </c>
      <c r="D26" s="102"/>
      <c r="E26" s="102"/>
      <c r="F26" s="112"/>
      <c r="G26" s="112"/>
      <c r="H26" s="112"/>
      <c r="I26" s="109"/>
      <c r="J26" s="109"/>
      <c r="K26" s="109"/>
    </row>
    <row r="27" spans="1:11" ht="12.75" customHeight="1">
      <c r="A27" s="103"/>
      <c r="B27" s="103"/>
      <c r="C27" s="103"/>
      <c r="D27" s="103"/>
      <c r="E27" s="103"/>
      <c r="F27" s="103"/>
      <c r="G27" s="103"/>
      <c r="H27" s="103"/>
      <c r="I27" s="109"/>
      <c r="J27" s="109"/>
      <c r="K27" s="109"/>
    </row>
    <row r="28" spans="1:11" ht="12.75" customHeight="1">
      <c r="A28" s="103"/>
      <c r="B28" s="103"/>
      <c r="C28" s="103"/>
      <c r="D28" s="103"/>
      <c r="E28" s="103"/>
      <c r="F28" s="103"/>
      <c r="G28" s="103"/>
      <c r="H28" s="103"/>
      <c r="I28" s="109"/>
      <c r="J28" s="109"/>
      <c r="K28" s="109"/>
    </row>
    <row r="29" spans="1:53" s="16" customFormat="1" ht="40.5" customHeight="1">
      <c r="A29" s="15" t="s">
        <v>5</v>
      </c>
      <c r="B29" s="81" t="str">
        <f>IF(H2="English","Product","Produit")</f>
        <v>Product</v>
      </c>
      <c r="C29" s="81" t="str">
        <f>IF(H2="English","Gender / Type","Sexe / Type")</f>
        <v>Gender / Type</v>
      </c>
      <c r="D29" s="81" t="str">
        <f>IF(H2="English","Size","Taille")</f>
        <v>Size</v>
      </c>
      <c r="E29" s="81" t="str">
        <f>IF(H2="English","Name to be printed","Nom à imprimer")</f>
        <v>Name to be printed</v>
      </c>
      <c r="F29" s="81" t="str">
        <f>IF(H2="English","Number to be printed","Numéro à imprimer")</f>
        <v>Number to be printed</v>
      </c>
      <c r="G29" s="81" t="str">
        <f>IF(H2="English","Colour","Couleur")</f>
        <v>Colour</v>
      </c>
      <c r="H29" s="81" t="str">
        <f>IF(H2="English","Special Requests","Demandes particulières")</f>
        <v>Special Requests</v>
      </c>
      <c r="I29" s="104"/>
      <c r="J29" s="104"/>
      <c r="K29" s="104"/>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row>
    <row r="30" spans="1:53" s="19" customFormat="1" ht="12" customHeight="1">
      <c r="A30" s="17">
        <v>1</v>
      </c>
      <c r="B30" s="22"/>
      <c r="C30" s="22"/>
      <c r="D30" s="21"/>
      <c r="E30" s="24"/>
      <c r="F30" s="79"/>
      <c r="G30" s="82"/>
      <c r="H30" s="78"/>
      <c r="I30" s="105" t="str">
        <f>IF('My order'!H2="English","3/ Use the dropdown lists for the 3 first columns (Product, Gender, Size).  Click on the cell and a list will pop-up. Start from the 'Product' column and the other lists will automatically adapt ","3/ Utilisez les listes des 3 premières colonnes (Produit, Sexe, Taille). Cliquez sur la cellule et une liste apparait. Commencez par la colonne 'Produit', les autres listes s'adaptent automatiquement")</f>
        <v>3/ Use the dropdown lists for the 3 first columns (Product, Gender, Size).  Click on the cell and a list will pop-up. Start from the 'Product' column and the other lists will automatically adapt </v>
      </c>
      <c r="J30" s="101"/>
      <c r="K30" s="101"/>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row>
    <row r="31" spans="1:53" s="19" customFormat="1" ht="12" customHeight="1">
      <c r="A31" s="20">
        <v>2</v>
      </c>
      <c r="B31" s="22"/>
      <c r="C31" s="22"/>
      <c r="D31" s="21"/>
      <c r="E31" s="24"/>
      <c r="F31" s="79"/>
      <c r="G31" s="82"/>
      <c r="H31" s="78"/>
      <c r="I31" s="105"/>
      <c r="J31" s="101"/>
      <c r="K31" s="10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row>
    <row r="32" spans="1:53" s="19" customFormat="1" ht="12" customHeight="1">
      <c r="A32" s="20">
        <v>3</v>
      </c>
      <c r="B32" s="22"/>
      <c r="C32" s="22"/>
      <c r="D32" s="21"/>
      <c r="E32" s="24"/>
      <c r="F32" s="79"/>
      <c r="G32" s="82"/>
      <c r="H32" s="78"/>
      <c r="I32" s="105"/>
      <c r="J32" s="101"/>
      <c r="K32" s="101"/>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row>
    <row r="33" spans="1:53" s="19" customFormat="1" ht="12" customHeight="1">
      <c r="A33" s="20">
        <v>4</v>
      </c>
      <c r="B33" s="22"/>
      <c r="C33" s="22"/>
      <c r="D33" s="21"/>
      <c r="E33" s="24"/>
      <c r="F33" s="79"/>
      <c r="G33" s="82"/>
      <c r="H33" s="78"/>
      <c r="I33" s="105"/>
      <c r="J33" s="101"/>
      <c r="K33" s="101"/>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row>
    <row r="34" spans="1:53" s="19" customFormat="1" ht="12" customHeight="1">
      <c r="A34" s="20">
        <v>5</v>
      </c>
      <c r="B34" s="22"/>
      <c r="C34" s="22"/>
      <c r="D34" s="21"/>
      <c r="E34" s="24"/>
      <c r="F34" s="79"/>
      <c r="G34" s="82"/>
      <c r="H34" s="78"/>
      <c r="I34" s="101"/>
      <c r="J34" s="101"/>
      <c r="K34" s="101"/>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row>
    <row r="35" spans="1:53" s="19" customFormat="1" ht="12" customHeight="1">
      <c r="A35" s="20">
        <v>6</v>
      </c>
      <c r="B35" s="22"/>
      <c r="C35" s="22"/>
      <c r="D35" s="21"/>
      <c r="E35" s="24"/>
      <c r="F35" s="79"/>
      <c r="G35" s="82"/>
      <c r="H35" s="78"/>
      <c r="I35" s="101"/>
      <c r="J35" s="101"/>
      <c r="K35" s="101"/>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row>
    <row r="36" spans="1:53" s="19" customFormat="1" ht="12" customHeight="1">
      <c r="A36" s="20">
        <v>7</v>
      </c>
      <c r="B36" s="22"/>
      <c r="C36" s="22"/>
      <c r="D36" s="21"/>
      <c r="E36" s="24"/>
      <c r="F36" s="79"/>
      <c r="G36" s="82"/>
      <c r="H36" s="78"/>
      <c r="I36" s="101"/>
      <c r="J36" s="101"/>
      <c r="K36" s="101"/>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row>
    <row r="37" spans="1:53" s="19" customFormat="1" ht="12" customHeight="1">
      <c r="A37" s="20">
        <v>8</v>
      </c>
      <c r="B37" s="22"/>
      <c r="C37" s="22"/>
      <c r="D37" s="21"/>
      <c r="E37" s="24"/>
      <c r="F37" s="79"/>
      <c r="G37" s="82"/>
      <c r="H37" s="78"/>
      <c r="I37" s="100"/>
      <c r="J37" s="100"/>
      <c r="K37" s="100"/>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row>
    <row r="38" spans="1:53" s="19" customFormat="1" ht="12" customHeight="1">
      <c r="A38" s="20">
        <v>9</v>
      </c>
      <c r="B38" s="22"/>
      <c r="C38" s="22"/>
      <c r="D38" s="21"/>
      <c r="E38" s="24"/>
      <c r="F38" s="79"/>
      <c r="G38" s="82"/>
      <c r="H38" s="78"/>
      <c r="I38" s="101" t="str">
        <f>IF(H2="English","Type in the details for the other columns (Name, Number, Colours, Requests)","Tapez ensuite les détails des autres colonnes (Nom, Numéro, Couleurs, Demandes)")</f>
        <v>Type in the details for the other columns (Name, Number, Colours, Requests)</v>
      </c>
      <c r="J38" s="101"/>
      <c r="K38" s="101"/>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row>
    <row r="39" spans="1:53" s="19" customFormat="1" ht="12" customHeight="1">
      <c r="A39" s="20">
        <v>10</v>
      </c>
      <c r="B39" s="22"/>
      <c r="C39" s="22"/>
      <c r="D39" s="21"/>
      <c r="E39" s="24"/>
      <c r="F39" s="79"/>
      <c r="G39" s="82"/>
      <c r="H39" s="78"/>
      <c r="I39" s="101"/>
      <c r="J39" s="101"/>
      <c r="K39" s="101"/>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row>
    <row r="40" spans="1:53" s="19" customFormat="1" ht="12" customHeight="1">
      <c r="A40" s="20">
        <v>11</v>
      </c>
      <c r="B40" s="22"/>
      <c r="C40" s="22"/>
      <c r="D40" s="21"/>
      <c r="E40" s="24"/>
      <c r="F40" s="79"/>
      <c r="G40" s="82"/>
      <c r="H40" s="78"/>
      <c r="I40" s="101"/>
      <c r="J40" s="101"/>
      <c r="K40" s="101"/>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row>
    <row r="41" spans="1:11" ht="12" customHeight="1">
      <c r="A41" s="20">
        <v>12</v>
      </c>
      <c r="B41" s="22"/>
      <c r="C41" s="22"/>
      <c r="D41" s="21"/>
      <c r="E41" s="24"/>
      <c r="F41" s="79"/>
      <c r="G41" s="82"/>
      <c r="H41" s="78"/>
      <c r="I41" s="99"/>
      <c r="J41" s="99"/>
      <c r="K41" s="99"/>
    </row>
    <row r="42" spans="1:11" ht="12" customHeight="1">
      <c r="A42" s="20">
        <v>13</v>
      </c>
      <c r="B42" s="22"/>
      <c r="C42" s="22"/>
      <c r="D42" s="21"/>
      <c r="E42" s="24"/>
      <c r="F42" s="79"/>
      <c r="G42" s="82"/>
      <c r="H42" s="78"/>
      <c r="I42" s="99"/>
      <c r="J42" s="99"/>
      <c r="K42" s="99"/>
    </row>
    <row r="43" spans="1:11" ht="12" customHeight="1">
      <c r="A43" s="20">
        <v>14</v>
      </c>
      <c r="B43" s="22"/>
      <c r="C43" s="22"/>
      <c r="D43" s="21"/>
      <c r="E43" s="24"/>
      <c r="F43" s="79"/>
      <c r="G43" s="82"/>
      <c r="H43" s="78"/>
      <c r="I43" s="99"/>
      <c r="J43" s="99"/>
      <c r="K43" s="99"/>
    </row>
    <row r="44" spans="1:11" ht="12" customHeight="1">
      <c r="A44" s="20">
        <v>15</v>
      </c>
      <c r="B44" s="22"/>
      <c r="C44" s="22"/>
      <c r="D44" s="21"/>
      <c r="E44" s="24"/>
      <c r="F44" s="79"/>
      <c r="G44" s="82"/>
      <c r="H44" s="78"/>
      <c r="I44" s="99"/>
      <c r="J44" s="99"/>
      <c r="K44" s="99"/>
    </row>
    <row r="45" spans="1:11" ht="12" customHeight="1">
      <c r="A45" s="20">
        <v>16</v>
      </c>
      <c r="B45" s="22"/>
      <c r="C45" s="22"/>
      <c r="D45" s="21"/>
      <c r="E45" s="24"/>
      <c r="F45" s="79"/>
      <c r="G45" s="82"/>
      <c r="H45" s="78"/>
      <c r="I45" s="99"/>
      <c r="J45" s="99"/>
      <c r="K45" s="99"/>
    </row>
    <row r="46" spans="1:11" ht="12" customHeight="1">
      <c r="A46" s="20">
        <v>17</v>
      </c>
      <c r="B46" s="22"/>
      <c r="C46" s="22"/>
      <c r="D46" s="21"/>
      <c r="E46" s="24"/>
      <c r="F46" s="79"/>
      <c r="G46" s="82"/>
      <c r="H46" s="78"/>
      <c r="I46" s="99"/>
      <c r="J46" s="99"/>
      <c r="K46" s="99"/>
    </row>
    <row r="47" spans="1:11" ht="12" customHeight="1">
      <c r="A47" s="20">
        <v>18</v>
      </c>
      <c r="B47" s="22"/>
      <c r="C47" s="22"/>
      <c r="D47" s="21"/>
      <c r="E47" s="24"/>
      <c r="F47" s="79"/>
      <c r="G47" s="82"/>
      <c r="H47" s="78"/>
      <c r="I47" s="99"/>
      <c r="J47" s="99"/>
      <c r="K47" s="99"/>
    </row>
    <row r="48" spans="1:11" ht="12" customHeight="1">
      <c r="A48" s="23">
        <v>19</v>
      </c>
      <c r="B48" s="22"/>
      <c r="C48" s="22"/>
      <c r="D48" s="21"/>
      <c r="E48" s="24"/>
      <c r="F48" s="79"/>
      <c r="G48" s="82"/>
      <c r="H48" s="78"/>
      <c r="I48" s="99"/>
      <c r="J48" s="99"/>
      <c r="K48" s="99"/>
    </row>
    <row r="49" spans="1:11" ht="12" customHeight="1">
      <c r="A49" s="23">
        <v>20</v>
      </c>
      <c r="B49" s="22"/>
      <c r="C49" s="22"/>
      <c r="D49" s="21"/>
      <c r="E49" s="24"/>
      <c r="F49" s="79"/>
      <c r="G49" s="82"/>
      <c r="H49" s="78"/>
      <c r="I49" s="99"/>
      <c r="J49" s="99"/>
      <c r="K49" s="99"/>
    </row>
    <row r="50" spans="1:11" ht="12" customHeight="1">
      <c r="A50" s="23">
        <v>21</v>
      </c>
      <c r="B50" s="22"/>
      <c r="C50" s="22"/>
      <c r="D50" s="21"/>
      <c r="E50" s="24"/>
      <c r="F50" s="79"/>
      <c r="G50" s="82"/>
      <c r="H50" s="78"/>
      <c r="I50" s="99"/>
      <c r="J50" s="99"/>
      <c r="K50" s="99"/>
    </row>
    <row r="51" spans="1:11" ht="12" customHeight="1">
      <c r="A51" s="23">
        <v>22</v>
      </c>
      <c r="B51" s="22"/>
      <c r="C51" s="22"/>
      <c r="D51" s="21"/>
      <c r="E51" s="24"/>
      <c r="F51" s="79"/>
      <c r="G51" s="82"/>
      <c r="H51" s="78"/>
      <c r="I51" s="99"/>
      <c r="J51" s="99"/>
      <c r="K51" s="99"/>
    </row>
    <row r="52" spans="1:11" ht="12" customHeight="1">
      <c r="A52" s="23">
        <v>23</v>
      </c>
      <c r="B52" s="22"/>
      <c r="C52" s="22"/>
      <c r="D52" s="21"/>
      <c r="E52" s="24"/>
      <c r="F52" s="79"/>
      <c r="G52" s="82"/>
      <c r="H52" s="78"/>
      <c r="I52" s="99"/>
      <c r="J52" s="99"/>
      <c r="K52" s="99"/>
    </row>
    <row r="53" spans="1:11" ht="12" customHeight="1">
      <c r="A53" s="23">
        <v>24</v>
      </c>
      <c r="B53" s="22"/>
      <c r="C53" s="22"/>
      <c r="D53" s="21"/>
      <c r="E53" s="24"/>
      <c r="F53" s="79"/>
      <c r="G53" s="82"/>
      <c r="H53" s="78"/>
      <c r="I53" s="99"/>
      <c r="J53" s="99"/>
      <c r="K53" s="99"/>
    </row>
    <row r="54" spans="1:11" ht="12" customHeight="1">
      <c r="A54" s="23">
        <v>25</v>
      </c>
      <c r="B54" s="22"/>
      <c r="C54" s="22"/>
      <c r="D54" s="21"/>
      <c r="E54" s="24"/>
      <c r="F54" s="79"/>
      <c r="G54" s="82"/>
      <c r="H54" s="78"/>
      <c r="I54" s="99"/>
      <c r="J54" s="99"/>
      <c r="K54" s="99"/>
    </row>
    <row r="55" spans="1:11" ht="12" customHeight="1">
      <c r="A55" s="23">
        <v>26</v>
      </c>
      <c r="B55" s="22"/>
      <c r="C55" s="22"/>
      <c r="D55" s="21"/>
      <c r="E55" s="24"/>
      <c r="F55" s="79"/>
      <c r="G55" s="82"/>
      <c r="H55" s="78"/>
      <c r="I55" s="99"/>
      <c r="J55" s="99"/>
      <c r="K55" s="99"/>
    </row>
    <row r="56" spans="1:11" ht="12" customHeight="1">
      <c r="A56" s="23">
        <v>27</v>
      </c>
      <c r="B56" s="22"/>
      <c r="C56" s="22"/>
      <c r="D56" s="21"/>
      <c r="E56" s="24"/>
      <c r="F56" s="79"/>
      <c r="G56" s="82"/>
      <c r="H56" s="78"/>
      <c r="I56" s="99"/>
      <c r="J56" s="99"/>
      <c r="K56" s="99"/>
    </row>
    <row r="57" spans="1:11" ht="12" customHeight="1">
      <c r="A57" s="23">
        <v>28</v>
      </c>
      <c r="B57" s="22"/>
      <c r="C57" s="22"/>
      <c r="D57" s="21"/>
      <c r="E57" s="24"/>
      <c r="F57" s="79"/>
      <c r="G57" s="82"/>
      <c r="H57" s="78"/>
      <c r="I57" s="99"/>
      <c r="J57" s="99"/>
      <c r="K57" s="99"/>
    </row>
    <row r="58" spans="1:11" ht="12" customHeight="1">
      <c r="A58" s="23">
        <v>29</v>
      </c>
      <c r="B58" s="22"/>
      <c r="C58" s="22"/>
      <c r="D58" s="21"/>
      <c r="E58" s="24"/>
      <c r="F58" s="79"/>
      <c r="G58" s="82"/>
      <c r="H58" s="78"/>
      <c r="I58" s="99"/>
      <c r="J58" s="99"/>
      <c r="K58" s="99"/>
    </row>
    <row r="59" spans="1:11" ht="12" customHeight="1">
      <c r="A59" s="23">
        <v>30</v>
      </c>
      <c r="B59" s="22"/>
      <c r="C59" s="22"/>
      <c r="D59" s="21"/>
      <c r="E59" s="24"/>
      <c r="F59" s="79"/>
      <c r="G59" s="82"/>
      <c r="H59" s="78"/>
      <c r="I59" s="99"/>
      <c r="J59" s="99"/>
      <c r="K59" s="99"/>
    </row>
    <row r="60" spans="1:11" ht="12" customHeight="1">
      <c r="A60" s="23">
        <v>31</v>
      </c>
      <c r="B60" s="22"/>
      <c r="C60" s="22"/>
      <c r="D60" s="21"/>
      <c r="E60" s="24"/>
      <c r="F60" s="79"/>
      <c r="G60" s="82"/>
      <c r="H60" s="78"/>
      <c r="I60" s="99"/>
      <c r="J60" s="99"/>
      <c r="K60" s="99"/>
    </row>
    <row r="61" spans="1:11" ht="12" customHeight="1">
      <c r="A61" s="23">
        <v>32</v>
      </c>
      <c r="B61" s="22"/>
      <c r="C61" s="22"/>
      <c r="D61" s="21"/>
      <c r="E61" s="24"/>
      <c r="F61" s="79"/>
      <c r="G61" s="82"/>
      <c r="H61" s="78"/>
      <c r="I61" s="99"/>
      <c r="J61" s="99"/>
      <c r="K61" s="99"/>
    </row>
    <row r="62" spans="1:11" ht="12" customHeight="1">
      <c r="A62" s="23">
        <v>33</v>
      </c>
      <c r="B62" s="22"/>
      <c r="C62" s="22"/>
      <c r="D62" s="21"/>
      <c r="E62" s="24"/>
      <c r="F62" s="79"/>
      <c r="G62" s="82"/>
      <c r="H62" s="78"/>
      <c r="I62" s="99"/>
      <c r="J62" s="99"/>
      <c r="K62" s="99"/>
    </row>
    <row r="63" spans="1:11" ht="12" customHeight="1">
      <c r="A63" s="23">
        <v>34</v>
      </c>
      <c r="B63" s="22"/>
      <c r="C63" s="22"/>
      <c r="D63" s="21"/>
      <c r="E63" s="24"/>
      <c r="F63" s="79"/>
      <c r="G63" s="82"/>
      <c r="H63" s="78"/>
      <c r="I63" s="99"/>
      <c r="J63" s="99"/>
      <c r="K63" s="99"/>
    </row>
    <row r="64" spans="1:11" ht="12" customHeight="1">
      <c r="A64" s="23">
        <v>35</v>
      </c>
      <c r="B64" s="22"/>
      <c r="C64" s="22"/>
      <c r="D64" s="21"/>
      <c r="E64" s="24"/>
      <c r="F64" s="79"/>
      <c r="G64" s="82"/>
      <c r="H64" s="78"/>
      <c r="I64" s="99"/>
      <c r="J64" s="99"/>
      <c r="K64" s="99"/>
    </row>
    <row r="65" spans="1:11" ht="12" customHeight="1">
      <c r="A65" s="23">
        <v>36</v>
      </c>
      <c r="B65" s="22"/>
      <c r="C65" s="22"/>
      <c r="D65" s="21"/>
      <c r="E65" s="24"/>
      <c r="F65" s="79"/>
      <c r="G65" s="82"/>
      <c r="H65" s="78"/>
      <c r="I65" s="99"/>
      <c r="J65" s="99"/>
      <c r="K65" s="99"/>
    </row>
    <row r="66" spans="1:11" ht="12" customHeight="1">
      <c r="A66" s="23">
        <v>37</v>
      </c>
      <c r="B66" s="22"/>
      <c r="C66" s="22"/>
      <c r="D66" s="21"/>
      <c r="E66" s="24"/>
      <c r="F66" s="79"/>
      <c r="G66" s="82"/>
      <c r="H66" s="78"/>
      <c r="I66" s="99"/>
      <c r="J66" s="99"/>
      <c r="K66" s="99"/>
    </row>
    <row r="67" spans="1:11" ht="12" customHeight="1">
      <c r="A67" s="23">
        <v>38</v>
      </c>
      <c r="B67" s="22"/>
      <c r="C67" s="22"/>
      <c r="D67" s="21"/>
      <c r="E67" s="24"/>
      <c r="F67" s="79"/>
      <c r="G67" s="82"/>
      <c r="H67" s="78"/>
      <c r="I67" s="99"/>
      <c r="J67" s="99"/>
      <c r="K67" s="99"/>
    </row>
    <row r="68" spans="1:11" ht="12" customHeight="1">
      <c r="A68" s="23">
        <v>39</v>
      </c>
      <c r="B68" s="22"/>
      <c r="C68" s="22"/>
      <c r="D68" s="21"/>
      <c r="E68" s="24"/>
      <c r="F68" s="79"/>
      <c r="G68" s="82"/>
      <c r="H68" s="78"/>
      <c r="I68" s="99"/>
      <c r="J68" s="99"/>
      <c r="K68" s="99"/>
    </row>
    <row r="69" spans="1:11" ht="12" customHeight="1">
      <c r="A69" s="23">
        <v>40</v>
      </c>
      <c r="B69" s="22"/>
      <c r="C69" s="22"/>
      <c r="D69" s="21"/>
      <c r="E69" s="24"/>
      <c r="F69" s="79"/>
      <c r="G69" s="82"/>
      <c r="H69" s="78"/>
      <c r="I69" s="99"/>
      <c r="J69" s="99"/>
      <c r="K69" s="99"/>
    </row>
    <row r="70" spans="1:11" ht="12" customHeight="1">
      <c r="A70" s="23">
        <v>41</v>
      </c>
      <c r="B70" s="22"/>
      <c r="C70" s="22"/>
      <c r="D70" s="21"/>
      <c r="E70" s="24"/>
      <c r="F70" s="79"/>
      <c r="G70" s="82"/>
      <c r="H70" s="78"/>
      <c r="I70" s="99"/>
      <c r="J70" s="99"/>
      <c r="K70" s="99"/>
    </row>
    <row r="71" spans="1:11" ht="12" customHeight="1">
      <c r="A71" s="23">
        <v>42</v>
      </c>
      <c r="B71" s="22"/>
      <c r="C71" s="22"/>
      <c r="D71" s="21"/>
      <c r="E71" s="24"/>
      <c r="F71" s="79"/>
      <c r="G71" s="82"/>
      <c r="H71" s="78"/>
      <c r="I71" s="99"/>
      <c r="J71" s="99"/>
      <c r="K71" s="99"/>
    </row>
    <row r="72" spans="1:11" ht="12" customHeight="1">
      <c r="A72" s="23">
        <v>43</v>
      </c>
      <c r="B72" s="22"/>
      <c r="C72" s="22"/>
      <c r="D72" s="21"/>
      <c r="E72" s="24"/>
      <c r="F72" s="79"/>
      <c r="G72" s="82"/>
      <c r="H72" s="78"/>
      <c r="I72" s="99"/>
      <c r="J72" s="99"/>
      <c r="K72" s="99"/>
    </row>
    <row r="73" spans="1:11" ht="12" customHeight="1">
      <c r="A73" s="23">
        <v>44</v>
      </c>
      <c r="B73" s="22"/>
      <c r="C73" s="22"/>
      <c r="D73" s="21"/>
      <c r="E73" s="24"/>
      <c r="F73" s="79"/>
      <c r="G73" s="82"/>
      <c r="H73" s="78"/>
      <c r="I73" s="99"/>
      <c r="J73" s="99"/>
      <c r="K73" s="99"/>
    </row>
    <row r="74" spans="1:11" ht="12" customHeight="1">
      <c r="A74" s="23">
        <v>45</v>
      </c>
      <c r="B74" s="22"/>
      <c r="C74" s="22"/>
      <c r="D74" s="21"/>
      <c r="E74" s="24"/>
      <c r="F74" s="79"/>
      <c r="G74" s="82"/>
      <c r="H74" s="78"/>
      <c r="I74" s="99"/>
      <c r="J74" s="99"/>
      <c r="K74" s="99"/>
    </row>
    <row r="75" spans="1:11" ht="12" customHeight="1">
      <c r="A75" s="23">
        <v>46</v>
      </c>
      <c r="B75" s="22"/>
      <c r="C75" s="22"/>
      <c r="D75" s="21"/>
      <c r="E75" s="24"/>
      <c r="F75" s="79"/>
      <c r="G75" s="82"/>
      <c r="H75" s="78"/>
      <c r="I75" s="99"/>
      <c r="J75" s="99"/>
      <c r="K75" s="99"/>
    </row>
    <row r="76" spans="1:11" ht="12" customHeight="1">
      <c r="A76" s="23">
        <v>47</v>
      </c>
      <c r="B76" s="22"/>
      <c r="C76" s="22"/>
      <c r="D76" s="21"/>
      <c r="E76" s="24"/>
      <c r="F76" s="79"/>
      <c r="G76" s="82"/>
      <c r="H76" s="78"/>
      <c r="I76" s="99"/>
      <c r="J76" s="99"/>
      <c r="K76" s="99"/>
    </row>
    <row r="77" spans="1:11" ht="12" customHeight="1">
      <c r="A77" s="23">
        <v>48</v>
      </c>
      <c r="B77" s="22"/>
      <c r="C77" s="22"/>
      <c r="D77" s="21"/>
      <c r="E77" s="24"/>
      <c r="F77" s="79"/>
      <c r="G77" s="82"/>
      <c r="H77" s="78"/>
      <c r="I77" s="99"/>
      <c r="J77" s="99"/>
      <c r="K77" s="99"/>
    </row>
    <row r="78" spans="1:11" ht="12" customHeight="1">
      <c r="A78" s="23">
        <v>49</v>
      </c>
      <c r="B78" s="22"/>
      <c r="C78" s="22"/>
      <c r="D78" s="21"/>
      <c r="E78" s="24"/>
      <c r="F78" s="79"/>
      <c r="G78" s="82"/>
      <c r="H78" s="78"/>
      <c r="I78" s="99"/>
      <c r="J78" s="99"/>
      <c r="K78" s="99"/>
    </row>
    <row r="79" spans="1:11" ht="12" customHeight="1">
      <c r="A79" s="23">
        <v>50</v>
      </c>
      <c r="B79" s="22"/>
      <c r="C79" s="22"/>
      <c r="D79" s="21"/>
      <c r="E79" s="24"/>
      <c r="F79" s="79"/>
      <c r="G79" s="82"/>
      <c r="H79" s="78"/>
      <c r="I79" s="99"/>
      <c r="J79" s="99"/>
      <c r="K79" s="99"/>
    </row>
    <row r="80" spans="1:11" ht="12" customHeight="1">
      <c r="A80" s="23">
        <v>51</v>
      </c>
      <c r="B80" s="22"/>
      <c r="C80" s="22"/>
      <c r="D80" s="21"/>
      <c r="E80" s="24"/>
      <c r="F80" s="79"/>
      <c r="G80" s="82"/>
      <c r="H80" s="78"/>
      <c r="I80" s="99"/>
      <c r="J80" s="99"/>
      <c r="K80" s="99"/>
    </row>
    <row r="81" spans="1:11" ht="12" customHeight="1">
      <c r="A81" s="23">
        <v>52</v>
      </c>
      <c r="B81" s="22"/>
      <c r="C81" s="22"/>
      <c r="D81" s="21"/>
      <c r="E81" s="24"/>
      <c r="F81" s="79"/>
      <c r="G81" s="82"/>
      <c r="H81" s="78"/>
      <c r="I81" s="99"/>
      <c r="J81" s="99"/>
      <c r="K81" s="99"/>
    </row>
    <row r="82" spans="1:11" ht="12" customHeight="1">
      <c r="A82" s="23">
        <v>53</v>
      </c>
      <c r="B82" s="22"/>
      <c r="C82" s="22"/>
      <c r="D82" s="21"/>
      <c r="E82" s="24"/>
      <c r="F82" s="79"/>
      <c r="G82" s="82"/>
      <c r="H82" s="78"/>
      <c r="I82" s="99"/>
      <c r="J82" s="99"/>
      <c r="K82" s="99"/>
    </row>
    <row r="83" spans="1:11" ht="12" customHeight="1">
      <c r="A83" s="23">
        <v>54</v>
      </c>
      <c r="B83" s="22"/>
      <c r="C83" s="22"/>
      <c r="D83" s="21"/>
      <c r="E83" s="24"/>
      <c r="F83" s="79"/>
      <c r="G83" s="82"/>
      <c r="H83" s="78"/>
      <c r="I83" s="99"/>
      <c r="J83" s="99"/>
      <c r="K83" s="99"/>
    </row>
    <row r="84" spans="1:11" ht="12" customHeight="1">
      <c r="A84" s="23">
        <v>55</v>
      </c>
      <c r="B84" s="22"/>
      <c r="C84" s="22"/>
      <c r="D84" s="21"/>
      <c r="E84" s="24"/>
      <c r="F84" s="79"/>
      <c r="G84" s="82"/>
      <c r="H84" s="78"/>
      <c r="I84" s="99"/>
      <c r="J84" s="99"/>
      <c r="K84" s="99"/>
    </row>
    <row r="85" spans="1:11" ht="12" customHeight="1">
      <c r="A85" s="23">
        <v>56</v>
      </c>
      <c r="B85" s="22"/>
      <c r="C85" s="22"/>
      <c r="D85" s="21"/>
      <c r="E85" s="24"/>
      <c r="F85" s="79"/>
      <c r="G85" s="82"/>
      <c r="H85" s="78"/>
      <c r="I85" s="99"/>
      <c r="J85" s="99"/>
      <c r="K85" s="99"/>
    </row>
    <row r="86" spans="1:11" ht="12" customHeight="1">
      <c r="A86" s="23">
        <v>57</v>
      </c>
      <c r="B86" s="22"/>
      <c r="C86" s="22"/>
      <c r="D86" s="21"/>
      <c r="E86" s="24"/>
      <c r="F86" s="79"/>
      <c r="G86" s="82"/>
      <c r="H86" s="78"/>
      <c r="I86" s="99"/>
      <c r="J86" s="99"/>
      <c r="K86" s="99"/>
    </row>
    <row r="87" spans="1:11" ht="12" customHeight="1">
      <c r="A87" s="23">
        <v>58</v>
      </c>
      <c r="B87" s="22"/>
      <c r="C87" s="22"/>
      <c r="D87" s="21"/>
      <c r="E87" s="24"/>
      <c r="F87" s="79"/>
      <c r="G87" s="82"/>
      <c r="H87" s="78"/>
      <c r="I87" s="99"/>
      <c r="J87" s="99"/>
      <c r="K87" s="99"/>
    </row>
    <row r="88" spans="1:11" ht="12" customHeight="1">
      <c r="A88" s="23">
        <v>59</v>
      </c>
      <c r="B88" s="22"/>
      <c r="C88" s="22"/>
      <c r="D88" s="21"/>
      <c r="E88" s="24"/>
      <c r="F88" s="79"/>
      <c r="G88" s="82"/>
      <c r="H88" s="78"/>
      <c r="I88" s="99"/>
      <c r="J88" s="99"/>
      <c r="K88" s="99"/>
    </row>
    <row r="89" spans="1:11" ht="12" customHeight="1">
      <c r="A89" s="23">
        <v>60</v>
      </c>
      <c r="B89" s="22"/>
      <c r="C89" s="22"/>
      <c r="D89" s="21"/>
      <c r="E89" s="24"/>
      <c r="F89" s="79"/>
      <c r="G89" s="82"/>
      <c r="H89" s="78"/>
      <c r="I89" s="99"/>
      <c r="J89" s="99"/>
      <c r="K89" s="99"/>
    </row>
    <row r="90" spans="1:11" ht="12" customHeight="1">
      <c r="A90" s="23">
        <v>61</v>
      </c>
      <c r="B90" s="22"/>
      <c r="C90" s="22"/>
      <c r="D90" s="21"/>
      <c r="E90" s="24"/>
      <c r="F90" s="79"/>
      <c r="G90" s="82"/>
      <c r="H90" s="78"/>
      <c r="I90" s="99"/>
      <c r="J90" s="99"/>
      <c r="K90" s="99"/>
    </row>
    <row r="91" spans="1:11" ht="12" customHeight="1">
      <c r="A91" s="23">
        <v>62</v>
      </c>
      <c r="B91" s="22"/>
      <c r="C91" s="22"/>
      <c r="D91" s="21"/>
      <c r="E91" s="24"/>
      <c r="F91" s="79"/>
      <c r="G91" s="82"/>
      <c r="H91" s="78"/>
      <c r="I91" s="99"/>
      <c r="J91" s="99"/>
      <c r="K91" s="99"/>
    </row>
    <row r="92" spans="1:11" ht="12" customHeight="1">
      <c r="A92" s="23">
        <v>63</v>
      </c>
      <c r="B92" s="22"/>
      <c r="C92" s="22"/>
      <c r="D92" s="21"/>
      <c r="E92" s="24"/>
      <c r="F92" s="79"/>
      <c r="G92" s="82"/>
      <c r="H92" s="78"/>
      <c r="I92" s="99"/>
      <c r="J92" s="99"/>
      <c r="K92" s="99"/>
    </row>
    <row r="93" spans="1:11" ht="12" customHeight="1">
      <c r="A93" s="23">
        <v>64</v>
      </c>
      <c r="B93" s="22"/>
      <c r="C93" s="22"/>
      <c r="D93" s="21"/>
      <c r="E93" s="24"/>
      <c r="F93" s="79"/>
      <c r="G93" s="82"/>
      <c r="H93" s="78"/>
      <c r="I93" s="99"/>
      <c r="J93" s="99"/>
      <c r="K93" s="99"/>
    </row>
    <row r="94" spans="1:11" ht="12" customHeight="1">
      <c r="A94" s="23">
        <v>65</v>
      </c>
      <c r="B94" s="22"/>
      <c r="C94" s="22"/>
      <c r="D94" s="21"/>
      <c r="E94" s="24"/>
      <c r="F94" s="79"/>
      <c r="G94" s="82"/>
      <c r="H94" s="78"/>
      <c r="I94" s="99"/>
      <c r="J94" s="99"/>
      <c r="K94" s="99"/>
    </row>
    <row r="95" spans="1:11" ht="12" customHeight="1">
      <c r="A95" s="25">
        <v>66</v>
      </c>
      <c r="B95" s="22"/>
      <c r="C95" s="22"/>
      <c r="D95" s="21"/>
      <c r="E95" s="24"/>
      <c r="F95" s="79"/>
      <c r="G95" s="82"/>
      <c r="H95" s="78"/>
      <c r="I95" s="99"/>
      <c r="J95" s="99"/>
      <c r="K95" s="99"/>
    </row>
    <row r="96" spans="1:11" ht="12" customHeight="1">
      <c r="A96" s="25">
        <v>67</v>
      </c>
      <c r="B96" s="22"/>
      <c r="C96" s="22"/>
      <c r="D96" s="21"/>
      <c r="E96" s="24"/>
      <c r="F96" s="79"/>
      <c r="G96" s="82"/>
      <c r="H96" s="78"/>
      <c r="I96" s="99"/>
      <c r="J96" s="99"/>
      <c r="K96" s="99"/>
    </row>
    <row r="97" spans="1:11" ht="12" customHeight="1">
      <c r="A97" s="25">
        <v>68</v>
      </c>
      <c r="B97" s="22"/>
      <c r="C97" s="22"/>
      <c r="D97" s="21"/>
      <c r="E97" s="24"/>
      <c r="F97" s="79"/>
      <c r="G97" s="82"/>
      <c r="H97" s="78"/>
      <c r="I97" s="99"/>
      <c r="J97" s="99"/>
      <c r="K97" s="99"/>
    </row>
    <row r="98" spans="1:11" ht="12" customHeight="1">
      <c r="A98" s="25">
        <v>69</v>
      </c>
      <c r="B98" s="22"/>
      <c r="C98" s="22"/>
      <c r="D98" s="21"/>
      <c r="E98" s="24"/>
      <c r="F98" s="79"/>
      <c r="G98" s="82"/>
      <c r="H98" s="78"/>
      <c r="I98" s="99"/>
      <c r="J98" s="99"/>
      <c r="K98" s="99"/>
    </row>
    <row r="99" spans="1:11" ht="12" customHeight="1">
      <c r="A99" s="25">
        <v>70</v>
      </c>
      <c r="B99" s="22"/>
      <c r="C99" s="22"/>
      <c r="D99" s="21"/>
      <c r="E99" s="24"/>
      <c r="F99" s="79"/>
      <c r="G99" s="82"/>
      <c r="H99" s="78"/>
      <c r="I99" s="99"/>
      <c r="J99" s="99"/>
      <c r="K99" s="99"/>
    </row>
    <row r="100" spans="1:11" ht="12" customHeight="1">
      <c r="A100" s="25">
        <v>71</v>
      </c>
      <c r="B100" s="22"/>
      <c r="C100" s="22"/>
      <c r="D100" s="21"/>
      <c r="E100" s="24"/>
      <c r="F100" s="79"/>
      <c r="G100" s="82"/>
      <c r="H100" s="78"/>
      <c r="I100" s="99"/>
      <c r="J100" s="99"/>
      <c r="K100" s="99"/>
    </row>
    <row r="101" spans="1:11" ht="12" customHeight="1">
      <c r="A101" s="25">
        <v>72</v>
      </c>
      <c r="B101" s="22"/>
      <c r="C101" s="22"/>
      <c r="D101" s="21"/>
      <c r="E101" s="24"/>
      <c r="F101" s="79"/>
      <c r="G101" s="82"/>
      <c r="H101" s="78"/>
      <c r="I101" s="99"/>
      <c r="J101" s="99"/>
      <c r="K101" s="99"/>
    </row>
    <row r="102" spans="1:11" ht="12" customHeight="1">
      <c r="A102" s="25">
        <v>73</v>
      </c>
      <c r="B102" s="22"/>
      <c r="C102" s="22"/>
      <c r="D102" s="21"/>
      <c r="E102" s="24"/>
      <c r="F102" s="79"/>
      <c r="G102" s="82"/>
      <c r="H102" s="78"/>
      <c r="I102" s="99"/>
      <c r="J102" s="99"/>
      <c r="K102" s="99"/>
    </row>
    <row r="103" spans="1:11" ht="12" customHeight="1">
      <c r="A103" s="25">
        <v>74</v>
      </c>
      <c r="B103" s="22"/>
      <c r="C103" s="22"/>
      <c r="D103" s="21"/>
      <c r="E103" s="24"/>
      <c r="F103" s="79"/>
      <c r="G103" s="82"/>
      <c r="H103" s="78"/>
      <c r="I103" s="99"/>
      <c r="J103" s="99"/>
      <c r="K103" s="99"/>
    </row>
    <row r="104" spans="1:11" ht="12" customHeight="1">
      <c r="A104" s="25">
        <v>75</v>
      </c>
      <c r="B104" s="22"/>
      <c r="C104" s="22"/>
      <c r="D104" s="21"/>
      <c r="E104" s="24"/>
      <c r="F104" s="79"/>
      <c r="G104" s="82"/>
      <c r="H104" s="78"/>
      <c r="I104" s="99"/>
      <c r="J104" s="99"/>
      <c r="K104" s="99"/>
    </row>
    <row r="105" spans="1:11" ht="12" customHeight="1">
      <c r="A105" s="25">
        <v>76</v>
      </c>
      <c r="B105" s="22"/>
      <c r="C105" s="22"/>
      <c r="D105" s="21"/>
      <c r="E105" s="24"/>
      <c r="F105" s="79"/>
      <c r="G105" s="82"/>
      <c r="H105" s="78"/>
      <c r="I105" s="99"/>
      <c r="J105" s="99"/>
      <c r="K105" s="99"/>
    </row>
    <row r="106" spans="1:11" ht="12" customHeight="1">
      <c r="A106" s="25">
        <v>77</v>
      </c>
      <c r="B106" s="22"/>
      <c r="C106" s="22"/>
      <c r="D106" s="21"/>
      <c r="E106" s="24"/>
      <c r="F106" s="79"/>
      <c r="G106" s="82"/>
      <c r="H106" s="78"/>
      <c r="I106" s="99"/>
      <c r="J106" s="99"/>
      <c r="K106" s="99"/>
    </row>
    <row r="107" spans="1:11" ht="12" customHeight="1">
      <c r="A107" s="25">
        <v>78</v>
      </c>
      <c r="B107" s="22"/>
      <c r="C107" s="22"/>
      <c r="D107" s="21"/>
      <c r="E107" s="24"/>
      <c r="F107" s="79"/>
      <c r="G107" s="82"/>
      <c r="H107" s="78"/>
      <c r="I107" s="99"/>
      <c r="J107" s="99"/>
      <c r="K107" s="99"/>
    </row>
    <row r="108" spans="1:11" ht="12" customHeight="1">
      <c r="A108" s="25">
        <v>79</v>
      </c>
      <c r="B108" s="22"/>
      <c r="C108" s="22"/>
      <c r="D108" s="21"/>
      <c r="E108" s="24"/>
      <c r="F108" s="79"/>
      <c r="G108" s="82"/>
      <c r="H108" s="78"/>
      <c r="I108" s="99"/>
      <c r="J108" s="99"/>
      <c r="K108" s="99"/>
    </row>
    <row r="109" spans="1:11" ht="12" customHeight="1">
      <c r="A109" s="25">
        <v>80</v>
      </c>
      <c r="B109" s="22"/>
      <c r="C109" s="22"/>
      <c r="D109" s="21"/>
      <c r="E109" s="24"/>
      <c r="F109" s="79"/>
      <c r="G109" s="82"/>
      <c r="H109" s="78"/>
      <c r="I109" s="99"/>
      <c r="J109" s="99"/>
      <c r="K109" s="99"/>
    </row>
    <row r="110" spans="1:11" ht="12" customHeight="1">
      <c r="A110" s="25">
        <v>81</v>
      </c>
      <c r="B110" s="22"/>
      <c r="C110" s="22"/>
      <c r="D110" s="21"/>
      <c r="E110" s="24"/>
      <c r="F110" s="79"/>
      <c r="G110" s="82"/>
      <c r="H110" s="78"/>
      <c r="I110" s="99"/>
      <c r="J110" s="99"/>
      <c r="K110" s="99"/>
    </row>
    <row r="111" spans="1:11" ht="12" customHeight="1">
      <c r="A111" s="25">
        <v>82</v>
      </c>
      <c r="B111" s="22"/>
      <c r="C111" s="22"/>
      <c r="D111" s="21"/>
      <c r="E111" s="24"/>
      <c r="F111" s="79"/>
      <c r="G111" s="82"/>
      <c r="H111" s="78"/>
      <c r="I111" s="99"/>
      <c r="J111" s="99"/>
      <c r="K111" s="99"/>
    </row>
    <row r="112" spans="1:11" ht="12" customHeight="1">
      <c r="A112" s="25">
        <v>83</v>
      </c>
      <c r="B112" s="22"/>
      <c r="C112" s="22"/>
      <c r="D112" s="21"/>
      <c r="E112" s="24"/>
      <c r="F112" s="79"/>
      <c r="G112" s="82"/>
      <c r="H112" s="78"/>
      <c r="I112" s="99"/>
      <c r="J112" s="99"/>
      <c r="K112" s="99"/>
    </row>
    <row r="113" spans="1:11" ht="12" customHeight="1">
      <c r="A113" s="25">
        <v>84</v>
      </c>
      <c r="B113" s="22"/>
      <c r="C113" s="22"/>
      <c r="D113" s="21"/>
      <c r="E113" s="24"/>
      <c r="F113" s="79"/>
      <c r="G113" s="82"/>
      <c r="H113" s="78"/>
      <c r="I113" s="99"/>
      <c r="J113" s="99"/>
      <c r="K113" s="99"/>
    </row>
    <row r="114" spans="1:11" ht="12" customHeight="1">
      <c r="A114" s="25">
        <v>85</v>
      </c>
      <c r="B114" s="22"/>
      <c r="C114" s="22"/>
      <c r="D114" s="21"/>
      <c r="E114" s="24"/>
      <c r="F114" s="79"/>
      <c r="G114" s="82"/>
      <c r="H114" s="78"/>
      <c r="I114" s="99"/>
      <c r="J114" s="99"/>
      <c r="K114" s="99"/>
    </row>
    <row r="115" spans="1:11" ht="12" customHeight="1">
      <c r="A115" s="25">
        <v>86</v>
      </c>
      <c r="B115" s="22"/>
      <c r="C115" s="22"/>
      <c r="D115" s="21"/>
      <c r="E115" s="24"/>
      <c r="F115" s="79"/>
      <c r="G115" s="82"/>
      <c r="H115" s="78"/>
      <c r="I115" s="99"/>
      <c r="J115" s="99"/>
      <c r="K115" s="99"/>
    </row>
    <row r="116" spans="1:11" ht="12" customHeight="1">
      <c r="A116" s="25">
        <v>87</v>
      </c>
      <c r="B116" s="22"/>
      <c r="C116" s="22"/>
      <c r="D116" s="21"/>
      <c r="E116" s="24"/>
      <c r="F116" s="79"/>
      <c r="G116" s="82"/>
      <c r="H116" s="78"/>
      <c r="I116" s="99"/>
      <c r="J116" s="99"/>
      <c r="K116" s="99"/>
    </row>
    <row r="117" spans="1:11" ht="12" customHeight="1">
      <c r="A117" s="25">
        <v>88</v>
      </c>
      <c r="B117" s="22"/>
      <c r="C117" s="22"/>
      <c r="D117" s="21"/>
      <c r="E117" s="24"/>
      <c r="F117" s="79"/>
      <c r="G117" s="82"/>
      <c r="H117" s="78"/>
      <c r="I117" s="99"/>
      <c r="J117" s="99"/>
      <c r="K117" s="99"/>
    </row>
    <row r="118" spans="1:11" ht="12" customHeight="1">
      <c r="A118" s="25">
        <v>89</v>
      </c>
      <c r="B118" s="22"/>
      <c r="C118" s="22"/>
      <c r="D118" s="21"/>
      <c r="E118" s="24"/>
      <c r="F118" s="79"/>
      <c r="G118" s="82"/>
      <c r="H118" s="78"/>
      <c r="I118" s="99"/>
      <c r="J118" s="99"/>
      <c r="K118" s="99"/>
    </row>
    <row r="119" spans="1:11" ht="12" customHeight="1">
      <c r="A119" s="25">
        <v>90</v>
      </c>
      <c r="B119" s="22"/>
      <c r="C119" s="22"/>
      <c r="D119" s="21"/>
      <c r="E119" s="24"/>
      <c r="F119" s="79"/>
      <c r="G119" s="82"/>
      <c r="H119" s="78"/>
      <c r="I119" s="99"/>
      <c r="J119" s="99"/>
      <c r="K119" s="99"/>
    </row>
    <row r="120" spans="1:11" ht="12" customHeight="1">
      <c r="A120" s="25">
        <v>91</v>
      </c>
      <c r="B120" s="22"/>
      <c r="C120" s="22"/>
      <c r="D120" s="21"/>
      <c r="E120" s="24"/>
      <c r="F120" s="79"/>
      <c r="G120" s="82"/>
      <c r="H120" s="78"/>
      <c r="I120" s="99"/>
      <c r="J120" s="99"/>
      <c r="K120" s="99"/>
    </row>
    <row r="121" spans="1:11" ht="12" customHeight="1">
      <c r="A121" s="25">
        <v>92</v>
      </c>
      <c r="B121" s="22"/>
      <c r="C121" s="22"/>
      <c r="D121" s="21"/>
      <c r="E121" s="24"/>
      <c r="F121" s="79"/>
      <c r="G121" s="82"/>
      <c r="H121" s="78"/>
      <c r="I121" s="99"/>
      <c r="J121" s="99"/>
      <c r="K121" s="99"/>
    </row>
    <row r="122" spans="1:11" ht="12" customHeight="1">
      <c r="A122" s="25">
        <v>93</v>
      </c>
      <c r="B122" s="22"/>
      <c r="C122" s="22"/>
      <c r="D122" s="21"/>
      <c r="E122" s="24"/>
      <c r="F122" s="79"/>
      <c r="G122" s="82"/>
      <c r="H122" s="78"/>
      <c r="I122" s="99"/>
      <c r="J122" s="99"/>
      <c r="K122" s="99"/>
    </row>
    <row r="123" spans="1:11" ht="12" customHeight="1">
      <c r="A123" s="25">
        <v>94</v>
      </c>
      <c r="B123" s="22"/>
      <c r="C123" s="22"/>
      <c r="D123" s="21"/>
      <c r="E123" s="24"/>
      <c r="F123" s="79"/>
      <c r="G123" s="82"/>
      <c r="H123" s="78"/>
      <c r="I123" s="99"/>
      <c r="J123" s="99"/>
      <c r="K123" s="99"/>
    </row>
    <row r="124" spans="1:11" ht="12" customHeight="1">
      <c r="A124" s="25">
        <v>95</v>
      </c>
      <c r="B124" s="22"/>
      <c r="C124" s="22"/>
      <c r="D124" s="21"/>
      <c r="E124" s="24"/>
      <c r="F124" s="79"/>
      <c r="G124" s="82"/>
      <c r="H124" s="78"/>
      <c r="I124" s="99"/>
      <c r="J124" s="99"/>
      <c r="K124" s="99"/>
    </row>
    <row r="125" spans="1:11" ht="12" customHeight="1">
      <c r="A125" s="25">
        <v>96</v>
      </c>
      <c r="B125" s="22"/>
      <c r="C125" s="22"/>
      <c r="D125" s="21"/>
      <c r="E125" s="24"/>
      <c r="F125" s="79"/>
      <c r="G125" s="82"/>
      <c r="H125" s="78"/>
      <c r="I125" s="99"/>
      <c r="J125" s="99"/>
      <c r="K125" s="99"/>
    </row>
    <row r="126" spans="1:11" ht="12" customHeight="1">
      <c r="A126" s="25">
        <v>97</v>
      </c>
      <c r="B126" s="22"/>
      <c r="C126" s="22"/>
      <c r="D126" s="21"/>
      <c r="E126" s="24"/>
      <c r="F126" s="79"/>
      <c r="G126" s="82"/>
      <c r="H126" s="78"/>
      <c r="I126" s="99"/>
      <c r="J126" s="99"/>
      <c r="K126" s="99"/>
    </row>
    <row r="127" spans="1:11" ht="12" customHeight="1">
      <c r="A127" s="25">
        <v>98</v>
      </c>
      <c r="B127" s="22"/>
      <c r="C127" s="22"/>
      <c r="D127" s="21"/>
      <c r="E127" s="24"/>
      <c r="F127" s="79"/>
      <c r="G127" s="82"/>
      <c r="H127" s="78"/>
      <c r="I127" s="99"/>
      <c r="J127" s="99"/>
      <c r="K127" s="99"/>
    </row>
    <row r="128" spans="1:11" ht="12" customHeight="1">
      <c r="A128" s="25">
        <v>99</v>
      </c>
      <c r="B128" s="22"/>
      <c r="C128" s="22"/>
      <c r="D128" s="21"/>
      <c r="E128" s="24"/>
      <c r="F128" s="79"/>
      <c r="G128" s="82"/>
      <c r="H128" s="78"/>
      <c r="I128" s="99"/>
      <c r="J128" s="99"/>
      <c r="K128" s="99"/>
    </row>
    <row r="129" spans="1:11" ht="12" customHeight="1">
      <c r="A129" s="25">
        <v>100</v>
      </c>
      <c r="B129" s="22"/>
      <c r="C129" s="22"/>
      <c r="D129" s="21"/>
      <c r="E129" s="24"/>
      <c r="F129" s="79"/>
      <c r="G129" s="82"/>
      <c r="H129" s="78"/>
      <c r="I129" s="99"/>
      <c r="J129" s="99"/>
      <c r="K129" s="99"/>
    </row>
    <row r="130" spans="1:11" ht="12" customHeight="1">
      <c r="A130" s="25">
        <v>101</v>
      </c>
      <c r="B130" s="22"/>
      <c r="C130" s="22"/>
      <c r="D130" s="21"/>
      <c r="E130" s="24"/>
      <c r="F130" s="79"/>
      <c r="G130" s="82"/>
      <c r="H130" s="78"/>
      <c r="I130" s="99"/>
      <c r="J130" s="99"/>
      <c r="K130" s="99"/>
    </row>
    <row r="131" spans="1:11" ht="12" customHeight="1">
      <c r="A131" s="25">
        <v>102</v>
      </c>
      <c r="B131" s="22"/>
      <c r="C131" s="22"/>
      <c r="D131" s="21"/>
      <c r="E131" s="24"/>
      <c r="F131" s="79"/>
      <c r="G131" s="82"/>
      <c r="H131" s="78"/>
      <c r="I131" s="99"/>
      <c r="J131" s="99"/>
      <c r="K131" s="99"/>
    </row>
    <row r="132" spans="1:11" ht="12" customHeight="1">
      <c r="A132" s="25">
        <v>103</v>
      </c>
      <c r="B132" s="22"/>
      <c r="C132" s="22"/>
      <c r="D132" s="21"/>
      <c r="E132" s="24"/>
      <c r="F132" s="79"/>
      <c r="G132" s="82"/>
      <c r="H132" s="78"/>
      <c r="I132" s="99"/>
      <c r="J132" s="99"/>
      <c r="K132" s="99"/>
    </row>
    <row r="133" spans="1:11" ht="12" customHeight="1">
      <c r="A133" s="25">
        <v>104</v>
      </c>
      <c r="B133" s="22"/>
      <c r="C133" s="22"/>
      <c r="D133" s="21"/>
      <c r="E133" s="24"/>
      <c r="F133" s="79"/>
      <c r="G133" s="82"/>
      <c r="H133" s="78"/>
      <c r="I133" s="99"/>
      <c r="J133" s="99"/>
      <c r="K133" s="99"/>
    </row>
    <row r="134" spans="1:11" ht="12" customHeight="1">
      <c r="A134" s="25">
        <v>105</v>
      </c>
      <c r="B134" s="22"/>
      <c r="C134" s="22"/>
      <c r="D134" s="21"/>
      <c r="E134" s="24"/>
      <c r="F134" s="79"/>
      <c r="G134" s="82"/>
      <c r="H134" s="78"/>
      <c r="I134" s="99"/>
      <c r="J134" s="99"/>
      <c r="K134" s="99"/>
    </row>
    <row r="135" spans="1:11" ht="12" customHeight="1">
      <c r="A135" s="25">
        <v>106</v>
      </c>
      <c r="B135" s="22"/>
      <c r="C135" s="22"/>
      <c r="D135" s="21"/>
      <c r="E135" s="24"/>
      <c r="F135" s="79"/>
      <c r="G135" s="82"/>
      <c r="H135" s="78"/>
      <c r="I135" s="99"/>
      <c r="J135" s="99"/>
      <c r="K135" s="99"/>
    </row>
    <row r="136" spans="1:11" ht="12" customHeight="1">
      <c r="A136" s="25">
        <v>107</v>
      </c>
      <c r="B136" s="22"/>
      <c r="C136" s="22"/>
      <c r="D136" s="21"/>
      <c r="E136" s="24"/>
      <c r="F136" s="79"/>
      <c r="G136" s="82"/>
      <c r="H136" s="78"/>
      <c r="I136" s="99"/>
      <c r="J136" s="99"/>
      <c r="K136" s="99"/>
    </row>
    <row r="137" spans="1:11" ht="12" customHeight="1">
      <c r="A137" s="25">
        <v>108</v>
      </c>
      <c r="B137" s="22"/>
      <c r="C137" s="22"/>
      <c r="D137" s="21"/>
      <c r="E137" s="24"/>
      <c r="F137" s="79"/>
      <c r="G137" s="82"/>
      <c r="H137" s="78"/>
      <c r="I137" s="99"/>
      <c r="J137" s="99"/>
      <c r="K137" s="99"/>
    </row>
    <row r="138" spans="1:11" ht="12" customHeight="1">
      <c r="A138" s="25">
        <v>109</v>
      </c>
      <c r="B138" s="22"/>
      <c r="C138" s="22"/>
      <c r="D138" s="21"/>
      <c r="E138" s="24"/>
      <c r="F138" s="79"/>
      <c r="G138" s="82"/>
      <c r="H138" s="78"/>
      <c r="I138" s="99"/>
      <c r="J138" s="99"/>
      <c r="K138" s="99"/>
    </row>
    <row r="139" spans="1:11" ht="12" customHeight="1">
      <c r="A139" s="25">
        <v>110</v>
      </c>
      <c r="B139" s="22"/>
      <c r="C139" s="22"/>
      <c r="D139" s="21"/>
      <c r="E139" s="24"/>
      <c r="F139" s="79"/>
      <c r="G139" s="82"/>
      <c r="H139" s="78"/>
      <c r="I139" s="99"/>
      <c r="J139" s="99"/>
      <c r="K139" s="99"/>
    </row>
    <row r="140" spans="1:11" ht="12" customHeight="1">
      <c r="A140" s="25">
        <v>111</v>
      </c>
      <c r="B140" s="22"/>
      <c r="C140" s="22"/>
      <c r="D140" s="21"/>
      <c r="E140" s="24"/>
      <c r="F140" s="79"/>
      <c r="G140" s="82"/>
      <c r="H140" s="78"/>
      <c r="I140" s="99"/>
      <c r="J140" s="99"/>
      <c r="K140" s="99"/>
    </row>
    <row r="141" spans="1:11" ht="12" customHeight="1">
      <c r="A141" s="25">
        <v>112</v>
      </c>
      <c r="B141" s="22"/>
      <c r="C141" s="22"/>
      <c r="D141" s="21"/>
      <c r="E141" s="24"/>
      <c r="F141" s="79"/>
      <c r="G141" s="82"/>
      <c r="H141" s="78"/>
      <c r="I141" s="99"/>
      <c r="J141" s="99"/>
      <c r="K141" s="99"/>
    </row>
    <row r="142" spans="1:11" ht="12" customHeight="1">
      <c r="A142" s="25">
        <v>113</v>
      </c>
      <c r="B142" s="18"/>
      <c r="C142" s="22"/>
      <c r="D142" s="21"/>
      <c r="E142" s="26"/>
      <c r="F142" s="79"/>
      <c r="G142" s="82"/>
      <c r="H142" s="80"/>
      <c r="I142" s="99"/>
      <c r="J142" s="99"/>
      <c r="K142" s="99"/>
    </row>
    <row r="143" spans="1:11" ht="12" customHeight="1">
      <c r="A143" s="25">
        <v>114</v>
      </c>
      <c r="B143" s="18"/>
      <c r="C143" s="22"/>
      <c r="D143" s="21"/>
      <c r="E143" s="26"/>
      <c r="F143" s="79"/>
      <c r="G143" s="82"/>
      <c r="H143" s="80"/>
      <c r="I143" s="99"/>
      <c r="J143" s="99"/>
      <c r="K143" s="99"/>
    </row>
    <row r="144" spans="1:11" ht="12" customHeight="1">
      <c r="A144" s="25">
        <v>115</v>
      </c>
      <c r="B144" s="18"/>
      <c r="C144" s="22"/>
      <c r="D144" s="21"/>
      <c r="E144" s="26"/>
      <c r="F144" s="79"/>
      <c r="G144" s="82"/>
      <c r="H144" s="80"/>
      <c r="I144" s="99"/>
      <c r="J144" s="99"/>
      <c r="K144" s="99"/>
    </row>
    <row r="145" spans="1:11" ht="12" customHeight="1">
      <c r="A145" s="25">
        <v>116</v>
      </c>
      <c r="B145" s="18"/>
      <c r="C145" s="22"/>
      <c r="D145" s="21"/>
      <c r="E145" s="26"/>
      <c r="F145" s="79"/>
      <c r="G145" s="82"/>
      <c r="H145" s="80"/>
      <c r="I145" s="99"/>
      <c r="J145" s="99"/>
      <c r="K145" s="99"/>
    </row>
    <row r="146" spans="1:11" ht="12" customHeight="1">
      <c r="A146" s="25">
        <v>117</v>
      </c>
      <c r="B146" s="18"/>
      <c r="C146" s="22"/>
      <c r="D146" s="21"/>
      <c r="E146" s="26"/>
      <c r="F146" s="79"/>
      <c r="G146" s="82"/>
      <c r="H146" s="80"/>
      <c r="I146" s="99"/>
      <c r="J146" s="99"/>
      <c r="K146" s="99"/>
    </row>
    <row r="147" spans="1:11" ht="12" customHeight="1">
      <c r="A147" s="25">
        <v>118</v>
      </c>
      <c r="B147" s="18"/>
      <c r="C147" s="22"/>
      <c r="D147" s="21"/>
      <c r="E147" s="26"/>
      <c r="F147" s="79"/>
      <c r="G147" s="82"/>
      <c r="H147" s="80"/>
      <c r="I147" s="99"/>
      <c r="J147" s="99"/>
      <c r="K147" s="99"/>
    </row>
    <row r="148" spans="1:11" ht="12" customHeight="1">
      <c r="A148" s="25">
        <v>119</v>
      </c>
      <c r="B148" s="18"/>
      <c r="C148" s="22"/>
      <c r="D148" s="21"/>
      <c r="E148" s="26"/>
      <c r="F148" s="79"/>
      <c r="G148" s="82"/>
      <c r="H148" s="80"/>
      <c r="I148" s="99"/>
      <c r="J148" s="99"/>
      <c r="K148" s="99"/>
    </row>
    <row r="149" spans="1:11" ht="12" customHeight="1">
      <c r="A149" s="25">
        <v>120</v>
      </c>
      <c r="B149" s="18"/>
      <c r="C149" s="22"/>
      <c r="D149" s="21"/>
      <c r="E149" s="26"/>
      <c r="F149" s="79"/>
      <c r="G149" s="82"/>
      <c r="H149" s="80"/>
      <c r="I149" s="99"/>
      <c r="J149" s="99"/>
      <c r="K149" s="99"/>
    </row>
    <row r="150" spans="1:11" ht="12" customHeight="1">
      <c r="A150" s="25">
        <v>121</v>
      </c>
      <c r="B150" s="18"/>
      <c r="C150" s="22"/>
      <c r="D150" s="21"/>
      <c r="E150" s="26"/>
      <c r="F150" s="79"/>
      <c r="G150" s="82"/>
      <c r="H150" s="80"/>
      <c r="I150" s="99"/>
      <c r="J150" s="99"/>
      <c r="K150" s="99"/>
    </row>
    <row r="151" spans="1:11" ht="12" customHeight="1">
      <c r="A151" s="25">
        <v>122</v>
      </c>
      <c r="B151" s="18"/>
      <c r="C151" s="22"/>
      <c r="D151" s="21"/>
      <c r="E151" s="26"/>
      <c r="F151" s="79"/>
      <c r="G151" s="82"/>
      <c r="H151" s="80"/>
      <c r="I151" s="99"/>
      <c r="J151" s="99"/>
      <c r="K151" s="99"/>
    </row>
    <row r="152" spans="1:11" ht="12" customHeight="1">
      <c r="A152" s="25">
        <v>123</v>
      </c>
      <c r="B152" s="18"/>
      <c r="C152" s="22"/>
      <c r="D152" s="21"/>
      <c r="E152" s="26"/>
      <c r="F152" s="79"/>
      <c r="G152" s="82"/>
      <c r="H152" s="80"/>
      <c r="I152" s="99"/>
      <c r="J152" s="99"/>
      <c r="K152" s="99"/>
    </row>
    <row r="153" spans="1:11" ht="12" customHeight="1">
      <c r="A153" s="25">
        <v>124</v>
      </c>
      <c r="B153" s="18"/>
      <c r="C153" s="22"/>
      <c r="D153" s="21"/>
      <c r="E153" s="26"/>
      <c r="F153" s="79"/>
      <c r="G153" s="82"/>
      <c r="H153" s="80"/>
      <c r="I153" s="99"/>
      <c r="J153" s="99"/>
      <c r="K153" s="99"/>
    </row>
    <row r="154" spans="1:11" ht="12" customHeight="1">
      <c r="A154" s="25">
        <v>125</v>
      </c>
      <c r="B154" s="18"/>
      <c r="C154" s="22"/>
      <c r="D154" s="21"/>
      <c r="E154" s="26"/>
      <c r="F154" s="79"/>
      <c r="G154" s="82"/>
      <c r="H154" s="80"/>
      <c r="I154" s="99"/>
      <c r="J154" s="99"/>
      <c r="K154" s="99"/>
    </row>
    <row r="155" spans="1:11" ht="12" customHeight="1">
      <c r="A155" s="25">
        <v>126</v>
      </c>
      <c r="B155" s="18"/>
      <c r="C155" s="22"/>
      <c r="D155" s="21"/>
      <c r="E155" s="26"/>
      <c r="F155" s="79"/>
      <c r="G155" s="82"/>
      <c r="H155" s="80"/>
      <c r="I155" s="99"/>
      <c r="J155" s="99"/>
      <c r="K155" s="99"/>
    </row>
    <row r="156" spans="1:11" ht="12" customHeight="1">
      <c r="A156" s="25">
        <v>127</v>
      </c>
      <c r="B156" s="18"/>
      <c r="C156" s="22"/>
      <c r="D156" s="21"/>
      <c r="E156" s="26"/>
      <c r="F156" s="79"/>
      <c r="G156" s="82"/>
      <c r="H156" s="80"/>
      <c r="I156" s="99"/>
      <c r="J156" s="99"/>
      <c r="K156" s="99"/>
    </row>
    <row r="157" spans="1:11" ht="12" customHeight="1">
      <c r="A157" s="25">
        <v>128</v>
      </c>
      <c r="B157" s="18"/>
      <c r="C157" s="22"/>
      <c r="D157" s="21"/>
      <c r="E157" s="26"/>
      <c r="F157" s="79"/>
      <c r="G157" s="82"/>
      <c r="H157" s="80"/>
      <c r="I157" s="99"/>
      <c r="J157" s="99"/>
      <c r="K157" s="99"/>
    </row>
    <row r="158" spans="1:11" ht="12" customHeight="1">
      <c r="A158" s="25">
        <v>129</v>
      </c>
      <c r="B158" s="18"/>
      <c r="C158" s="22"/>
      <c r="D158" s="21"/>
      <c r="E158" s="26"/>
      <c r="F158" s="79"/>
      <c r="G158" s="82"/>
      <c r="H158" s="80"/>
      <c r="I158" s="99"/>
      <c r="J158" s="99"/>
      <c r="K158" s="99"/>
    </row>
    <row r="159" spans="1:11" ht="12" customHeight="1">
      <c r="A159" s="25">
        <v>130</v>
      </c>
      <c r="B159" s="18"/>
      <c r="C159" s="22"/>
      <c r="D159" s="21"/>
      <c r="E159" s="26"/>
      <c r="F159" s="79"/>
      <c r="G159" s="82"/>
      <c r="H159" s="80"/>
      <c r="I159" s="99"/>
      <c r="J159" s="99"/>
      <c r="K159" s="99"/>
    </row>
    <row r="160" spans="1:11" ht="12" customHeight="1">
      <c r="A160" s="25">
        <v>131</v>
      </c>
      <c r="B160" s="18"/>
      <c r="C160" s="22"/>
      <c r="D160" s="21"/>
      <c r="E160" s="26"/>
      <c r="F160" s="79"/>
      <c r="G160" s="82"/>
      <c r="H160" s="80"/>
      <c r="I160" s="99"/>
      <c r="J160" s="99"/>
      <c r="K160" s="99"/>
    </row>
    <row r="161" spans="1:11" ht="12" customHeight="1">
      <c r="A161" s="25">
        <v>132</v>
      </c>
      <c r="B161" s="18"/>
      <c r="C161" s="22"/>
      <c r="D161" s="21"/>
      <c r="E161" s="26"/>
      <c r="F161" s="79"/>
      <c r="G161" s="82"/>
      <c r="H161" s="80"/>
      <c r="I161" s="99"/>
      <c r="J161" s="99"/>
      <c r="K161" s="99"/>
    </row>
    <row r="162" spans="1:11" ht="12" customHeight="1">
      <c r="A162" s="25">
        <v>133</v>
      </c>
      <c r="B162" s="18"/>
      <c r="C162" s="22"/>
      <c r="D162" s="21"/>
      <c r="E162" s="26"/>
      <c r="F162" s="79"/>
      <c r="G162" s="82"/>
      <c r="H162" s="80"/>
      <c r="I162" s="99"/>
      <c r="J162" s="99"/>
      <c r="K162" s="99"/>
    </row>
    <row r="163" spans="1:11" ht="12" customHeight="1">
      <c r="A163" s="25">
        <v>134</v>
      </c>
      <c r="B163" s="18"/>
      <c r="C163" s="22"/>
      <c r="D163" s="21"/>
      <c r="E163" s="26"/>
      <c r="F163" s="79"/>
      <c r="G163" s="82"/>
      <c r="H163" s="80"/>
      <c r="I163" s="99"/>
      <c r="J163" s="99"/>
      <c r="K163" s="99"/>
    </row>
    <row r="164" spans="1:11" ht="12" customHeight="1">
      <c r="A164" s="25">
        <v>135</v>
      </c>
      <c r="B164" s="18"/>
      <c r="C164" s="22"/>
      <c r="D164" s="21"/>
      <c r="E164" s="26"/>
      <c r="F164" s="79"/>
      <c r="G164" s="82"/>
      <c r="H164" s="80"/>
      <c r="I164" s="99"/>
      <c r="J164" s="99"/>
      <c r="K164" s="99"/>
    </row>
    <row r="165" spans="1:11" ht="12" customHeight="1">
      <c r="A165" s="25">
        <v>136</v>
      </c>
      <c r="B165" s="18"/>
      <c r="C165" s="22"/>
      <c r="D165" s="21"/>
      <c r="E165" s="26"/>
      <c r="F165" s="79"/>
      <c r="G165" s="82"/>
      <c r="H165" s="80"/>
      <c r="I165" s="99"/>
      <c r="J165" s="99"/>
      <c r="K165" s="99"/>
    </row>
    <row r="166" spans="1:11" ht="12" customHeight="1">
      <c r="A166" s="25">
        <v>137</v>
      </c>
      <c r="B166" s="18"/>
      <c r="C166" s="22"/>
      <c r="D166" s="21"/>
      <c r="E166" s="26"/>
      <c r="F166" s="79"/>
      <c r="G166" s="82"/>
      <c r="H166" s="80"/>
      <c r="I166" s="99"/>
      <c r="J166" s="99"/>
      <c r="K166" s="99"/>
    </row>
    <row r="167" spans="1:11" ht="12" customHeight="1">
      <c r="A167" s="25">
        <v>138</v>
      </c>
      <c r="B167" s="18"/>
      <c r="C167" s="22"/>
      <c r="D167" s="21"/>
      <c r="E167" s="26"/>
      <c r="F167" s="79"/>
      <c r="G167" s="82"/>
      <c r="H167" s="80"/>
      <c r="I167" s="99"/>
      <c r="J167" s="99"/>
      <c r="K167" s="99"/>
    </row>
    <row r="168" spans="1:11" ht="12" customHeight="1">
      <c r="A168" s="25">
        <v>139</v>
      </c>
      <c r="B168" s="18"/>
      <c r="C168" s="22"/>
      <c r="D168" s="21"/>
      <c r="E168" s="26"/>
      <c r="F168" s="79"/>
      <c r="G168" s="82"/>
      <c r="H168" s="80"/>
      <c r="I168" s="99"/>
      <c r="J168" s="99"/>
      <c r="K168" s="99"/>
    </row>
    <row r="169" spans="1:11" ht="12" customHeight="1">
      <c r="A169" s="25">
        <v>140</v>
      </c>
      <c r="B169" s="18"/>
      <c r="C169" s="22"/>
      <c r="D169" s="21"/>
      <c r="E169" s="26"/>
      <c r="F169" s="79"/>
      <c r="G169" s="82"/>
      <c r="H169" s="80"/>
      <c r="I169" s="99"/>
      <c r="J169" s="99"/>
      <c r="K169" s="99"/>
    </row>
    <row r="170" spans="1:11" ht="12" customHeight="1">
      <c r="A170" s="25">
        <v>141</v>
      </c>
      <c r="B170" s="18"/>
      <c r="C170" s="22"/>
      <c r="D170" s="21"/>
      <c r="E170" s="26"/>
      <c r="F170" s="79"/>
      <c r="G170" s="82"/>
      <c r="H170" s="80"/>
      <c r="I170" s="99"/>
      <c r="J170" s="99"/>
      <c r="K170" s="99"/>
    </row>
    <row r="171" spans="1:11" ht="12" customHeight="1">
      <c r="A171" s="25">
        <v>142</v>
      </c>
      <c r="B171" s="18"/>
      <c r="C171" s="22"/>
      <c r="D171" s="21"/>
      <c r="E171" s="26"/>
      <c r="F171" s="79"/>
      <c r="G171" s="82"/>
      <c r="H171" s="80"/>
      <c r="I171" s="99"/>
      <c r="J171" s="99"/>
      <c r="K171" s="99"/>
    </row>
    <row r="172" spans="1:11" ht="12" customHeight="1">
      <c r="A172" s="25">
        <v>143</v>
      </c>
      <c r="B172" s="18"/>
      <c r="C172" s="22"/>
      <c r="D172" s="21"/>
      <c r="E172" s="26"/>
      <c r="F172" s="79"/>
      <c r="G172" s="82"/>
      <c r="H172" s="80"/>
      <c r="I172" s="99"/>
      <c r="J172" s="99"/>
      <c r="K172" s="99"/>
    </row>
    <row r="173" spans="1:11" ht="12" customHeight="1">
      <c r="A173" s="25">
        <v>144</v>
      </c>
      <c r="B173" s="18"/>
      <c r="C173" s="22"/>
      <c r="D173" s="21"/>
      <c r="E173" s="26"/>
      <c r="F173" s="79"/>
      <c r="G173" s="82"/>
      <c r="H173" s="80"/>
      <c r="I173" s="99"/>
      <c r="J173" s="99"/>
      <c r="K173" s="99"/>
    </row>
    <row r="174" spans="1:11" ht="12" customHeight="1">
      <c r="A174" s="25">
        <v>145</v>
      </c>
      <c r="B174" s="18"/>
      <c r="C174" s="22"/>
      <c r="D174" s="21"/>
      <c r="E174" s="26"/>
      <c r="F174" s="79"/>
      <c r="G174" s="82"/>
      <c r="H174" s="80"/>
      <c r="I174" s="99"/>
      <c r="J174" s="99"/>
      <c r="K174" s="99"/>
    </row>
    <row r="175" spans="1:11" ht="12" customHeight="1">
      <c r="A175" s="25">
        <v>146</v>
      </c>
      <c r="B175" s="18"/>
      <c r="C175" s="22"/>
      <c r="D175" s="21"/>
      <c r="E175" s="26"/>
      <c r="F175" s="79"/>
      <c r="G175" s="82"/>
      <c r="H175" s="80"/>
      <c r="I175" s="99"/>
      <c r="J175" s="99"/>
      <c r="K175" s="99"/>
    </row>
    <row r="176" spans="1:11" ht="12" customHeight="1">
      <c r="A176" s="25">
        <v>147</v>
      </c>
      <c r="B176" s="18"/>
      <c r="C176" s="22"/>
      <c r="D176" s="21"/>
      <c r="E176" s="26"/>
      <c r="F176" s="79"/>
      <c r="G176" s="82"/>
      <c r="H176" s="80"/>
      <c r="I176" s="99"/>
      <c r="J176" s="99"/>
      <c r="K176" s="99"/>
    </row>
    <row r="177" spans="1:11" ht="12" customHeight="1">
      <c r="A177" s="25">
        <v>148</v>
      </c>
      <c r="B177" s="18"/>
      <c r="C177" s="22"/>
      <c r="D177" s="21"/>
      <c r="E177" s="26"/>
      <c r="F177" s="79"/>
      <c r="G177" s="82"/>
      <c r="H177" s="80"/>
      <c r="I177" s="99"/>
      <c r="J177" s="99"/>
      <c r="K177" s="99"/>
    </row>
    <row r="178" spans="1:11" ht="12" customHeight="1">
      <c r="A178" s="25">
        <v>149</v>
      </c>
      <c r="B178" s="18"/>
      <c r="C178" s="22"/>
      <c r="D178" s="21"/>
      <c r="E178" s="26"/>
      <c r="F178" s="79"/>
      <c r="G178" s="82"/>
      <c r="H178" s="80"/>
      <c r="I178" s="99"/>
      <c r="J178" s="99"/>
      <c r="K178" s="99"/>
    </row>
    <row r="179" spans="1:11" ht="12" customHeight="1">
      <c r="A179" s="25">
        <v>150</v>
      </c>
      <c r="B179" s="18"/>
      <c r="C179" s="22"/>
      <c r="D179" s="21"/>
      <c r="E179" s="26"/>
      <c r="F179" s="79"/>
      <c r="G179" s="82"/>
      <c r="H179" s="80"/>
      <c r="I179" s="99"/>
      <c r="J179" s="99"/>
      <c r="K179" s="99"/>
    </row>
    <row r="180" spans="1:11" ht="12" customHeight="1">
      <c r="A180" s="25">
        <v>151</v>
      </c>
      <c r="B180" s="18"/>
      <c r="C180" s="22"/>
      <c r="D180" s="21"/>
      <c r="E180" s="26"/>
      <c r="F180" s="79"/>
      <c r="G180" s="82"/>
      <c r="H180" s="80"/>
      <c r="I180" s="99"/>
      <c r="J180" s="99"/>
      <c r="K180" s="99"/>
    </row>
    <row r="181" spans="1:11" ht="12" customHeight="1">
      <c r="A181" s="25">
        <v>152</v>
      </c>
      <c r="B181" s="18"/>
      <c r="C181" s="22"/>
      <c r="D181" s="21"/>
      <c r="E181" s="26"/>
      <c r="F181" s="79"/>
      <c r="G181" s="82"/>
      <c r="H181" s="80"/>
      <c r="I181" s="99"/>
      <c r="J181" s="99"/>
      <c r="K181" s="99"/>
    </row>
    <row r="182" spans="1:11" ht="12" customHeight="1">
      <c r="A182" s="25">
        <v>153</v>
      </c>
      <c r="B182" s="18"/>
      <c r="C182" s="22"/>
      <c r="D182" s="21"/>
      <c r="E182" s="26"/>
      <c r="F182" s="79"/>
      <c r="G182" s="82"/>
      <c r="H182" s="80"/>
      <c r="I182" s="99"/>
      <c r="J182" s="99"/>
      <c r="K182" s="99"/>
    </row>
    <row r="183" spans="1:11" ht="12" customHeight="1">
      <c r="A183" s="25">
        <v>154</v>
      </c>
      <c r="B183" s="18"/>
      <c r="C183" s="22"/>
      <c r="D183" s="21"/>
      <c r="E183" s="26"/>
      <c r="F183" s="79"/>
      <c r="G183" s="82"/>
      <c r="H183" s="80"/>
      <c r="I183" s="99"/>
      <c r="J183" s="99"/>
      <c r="K183" s="99"/>
    </row>
    <row r="184" spans="1:11" ht="12" customHeight="1">
      <c r="A184" s="25">
        <v>155</v>
      </c>
      <c r="B184" s="18"/>
      <c r="C184" s="22"/>
      <c r="D184" s="21"/>
      <c r="E184" s="26"/>
      <c r="F184" s="79"/>
      <c r="G184" s="82"/>
      <c r="H184" s="80"/>
      <c r="I184" s="99"/>
      <c r="J184" s="99"/>
      <c r="K184" s="99"/>
    </row>
    <row r="185" spans="1:11" ht="12" customHeight="1">
      <c r="A185" s="25">
        <v>156</v>
      </c>
      <c r="B185" s="18"/>
      <c r="C185" s="22"/>
      <c r="D185" s="21"/>
      <c r="E185" s="26"/>
      <c r="F185" s="79"/>
      <c r="G185" s="82"/>
      <c r="H185" s="80"/>
      <c r="I185" s="99"/>
      <c r="J185" s="99"/>
      <c r="K185" s="99"/>
    </row>
    <row r="186" spans="1:11" ht="12" customHeight="1">
      <c r="A186" s="25">
        <v>157</v>
      </c>
      <c r="B186" s="18"/>
      <c r="C186" s="22"/>
      <c r="D186" s="21"/>
      <c r="E186" s="26"/>
      <c r="F186" s="79"/>
      <c r="G186" s="82"/>
      <c r="H186" s="80"/>
      <c r="I186" s="99"/>
      <c r="J186" s="99"/>
      <c r="K186" s="99"/>
    </row>
    <row r="187" spans="1:11" ht="12" customHeight="1">
      <c r="A187" s="25">
        <v>158</v>
      </c>
      <c r="B187" s="18"/>
      <c r="C187" s="22"/>
      <c r="D187" s="21"/>
      <c r="E187" s="26"/>
      <c r="F187" s="79"/>
      <c r="G187" s="82"/>
      <c r="H187" s="80"/>
      <c r="I187" s="99"/>
      <c r="J187" s="99"/>
      <c r="K187" s="99"/>
    </row>
    <row r="188" spans="1:11" ht="12" customHeight="1">
      <c r="A188" s="25">
        <v>159</v>
      </c>
      <c r="B188" s="18"/>
      <c r="C188" s="22"/>
      <c r="D188" s="21"/>
      <c r="E188" s="26"/>
      <c r="F188" s="79"/>
      <c r="G188" s="82"/>
      <c r="H188" s="80"/>
      <c r="I188" s="99"/>
      <c r="J188" s="99"/>
      <c r="K188" s="99"/>
    </row>
    <row r="189" spans="1:11" ht="12" customHeight="1">
      <c r="A189" s="25">
        <v>160</v>
      </c>
      <c r="B189" s="18"/>
      <c r="C189" s="22"/>
      <c r="D189" s="21"/>
      <c r="E189" s="26"/>
      <c r="F189" s="79"/>
      <c r="G189" s="82"/>
      <c r="H189" s="80"/>
      <c r="I189" s="99"/>
      <c r="J189" s="99"/>
      <c r="K189" s="99"/>
    </row>
    <row r="190" spans="1:11" ht="12" customHeight="1">
      <c r="A190" s="25">
        <v>161</v>
      </c>
      <c r="B190" s="18"/>
      <c r="C190" s="22"/>
      <c r="D190" s="21"/>
      <c r="E190" s="26"/>
      <c r="F190" s="79"/>
      <c r="G190" s="82"/>
      <c r="H190" s="80"/>
      <c r="I190" s="99"/>
      <c r="J190" s="99"/>
      <c r="K190" s="99"/>
    </row>
    <row r="191" spans="1:11" ht="12" customHeight="1">
      <c r="A191" s="25">
        <v>162</v>
      </c>
      <c r="B191" s="18"/>
      <c r="C191" s="22"/>
      <c r="D191" s="21"/>
      <c r="E191" s="26"/>
      <c r="F191" s="79"/>
      <c r="G191" s="82"/>
      <c r="H191" s="80"/>
      <c r="I191" s="99"/>
      <c r="J191" s="99"/>
      <c r="K191" s="99"/>
    </row>
    <row r="192" spans="1:11" ht="12" customHeight="1">
      <c r="A192" s="25">
        <v>163</v>
      </c>
      <c r="B192" s="18"/>
      <c r="C192" s="22"/>
      <c r="D192" s="21"/>
      <c r="E192" s="26"/>
      <c r="F192" s="79"/>
      <c r="G192" s="82"/>
      <c r="H192" s="80"/>
      <c r="I192" s="99"/>
      <c r="J192" s="99"/>
      <c r="K192" s="99"/>
    </row>
    <row r="193" spans="1:11" ht="12" customHeight="1">
      <c r="A193" s="25">
        <v>164</v>
      </c>
      <c r="B193" s="18"/>
      <c r="C193" s="22"/>
      <c r="D193" s="21"/>
      <c r="E193" s="26"/>
      <c r="F193" s="79"/>
      <c r="G193" s="82"/>
      <c r="H193" s="80"/>
      <c r="I193" s="99"/>
      <c r="J193" s="99"/>
      <c r="K193" s="99"/>
    </row>
    <row r="194" spans="1:11" ht="12" customHeight="1">
      <c r="A194" s="25">
        <v>165</v>
      </c>
      <c r="B194" s="18"/>
      <c r="C194" s="22"/>
      <c r="D194" s="21"/>
      <c r="E194" s="26"/>
      <c r="F194" s="79"/>
      <c r="G194" s="82"/>
      <c r="H194" s="80"/>
      <c r="I194" s="99"/>
      <c r="J194" s="99"/>
      <c r="K194" s="99"/>
    </row>
    <row r="195" spans="1:11" ht="12" customHeight="1">
      <c r="A195" s="25">
        <v>166</v>
      </c>
      <c r="B195" s="18"/>
      <c r="C195" s="22"/>
      <c r="D195" s="21"/>
      <c r="E195" s="26"/>
      <c r="F195" s="79"/>
      <c r="G195" s="82"/>
      <c r="H195" s="80"/>
      <c r="I195" s="99"/>
      <c r="J195" s="99"/>
      <c r="K195" s="99"/>
    </row>
    <row r="196" spans="1:11" ht="12" customHeight="1">
      <c r="A196" s="25">
        <v>167</v>
      </c>
      <c r="B196" s="18"/>
      <c r="C196" s="22"/>
      <c r="D196" s="21"/>
      <c r="E196" s="26"/>
      <c r="F196" s="79"/>
      <c r="G196" s="82"/>
      <c r="H196" s="80"/>
      <c r="I196" s="99"/>
      <c r="J196" s="99"/>
      <c r="K196" s="99"/>
    </row>
    <row r="197" spans="1:11" ht="12" customHeight="1">
      <c r="A197" s="25">
        <v>168</v>
      </c>
      <c r="B197" s="18"/>
      <c r="C197" s="22"/>
      <c r="D197" s="21"/>
      <c r="E197" s="26"/>
      <c r="F197" s="79"/>
      <c r="G197" s="82"/>
      <c r="H197" s="80"/>
      <c r="I197" s="99"/>
      <c r="J197" s="99"/>
      <c r="K197" s="99"/>
    </row>
    <row r="198" spans="1:11" ht="12" customHeight="1">
      <c r="A198" s="25">
        <v>169</v>
      </c>
      <c r="B198" s="18"/>
      <c r="C198" s="22"/>
      <c r="D198" s="21"/>
      <c r="E198" s="26"/>
      <c r="F198" s="79"/>
      <c r="G198" s="82"/>
      <c r="H198" s="80"/>
      <c r="I198" s="99"/>
      <c r="J198" s="99"/>
      <c r="K198" s="99"/>
    </row>
    <row r="199" spans="1:11" ht="12" customHeight="1">
      <c r="A199" s="25">
        <v>170</v>
      </c>
      <c r="B199" s="18"/>
      <c r="C199" s="22"/>
      <c r="D199" s="21"/>
      <c r="E199" s="26"/>
      <c r="F199" s="79"/>
      <c r="G199" s="82"/>
      <c r="H199" s="80"/>
      <c r="I199" s="99"/>
      <c r="J199" s="99"/>
      <c r="K199" s="99"/>
    </row>
    <row r="200" spans="1:11" ht="12" customHeight="1">
      <c r="A200" s="25">
        <v>171</v>
      </c>
      <c r="B200" s="18"/>
      <c r="C200" s="22"/>
      <c r="D200" s="21"/>
      <c r="E200" s="26"/>
      <c r="F200" s="79"/>
      <c r="G200" s="82"/>
      <c r="H200" s="80"/>
      <c r="I200" s="99"/>
      <c r="J200" s="99"/>
      <c r="K200" s="99"/>
    </row>
    <row r="201" spans="1:11" ht="12" customHeight="1">
      <c r="A201" s="25">
        <v>172</v>
      </c>
      <c r="B201" s="18"/>
      <c r="C201" s="22"/>
      <c r="D201" s="21"/>
      <c r="E201" s="26"/>
      <c r="F201" s="79"/>
      <c r="G201" s="82"/>
      <c r="H201" s="80"/>
      <c r="I201" s="99"/>
      <c r="J201" s="99"/>
      <c r="K201" s="99"/>
    </row>
    <row r="202" spans="1:11" ht="12" customHeight="1">
      <c r="A202" s="25">
        <v>173</v>
      </c>
      <c r="B202" s="18"/>
      <c r="C202" s="22"/>
      <c r="D202" s="21"/>
      <c r="E202" s="26"/>
      <c r="F202" s="79"/>
      <c r="G202" s="82"/>
      <c r="H202" s="80"/>
      <c r="I202" s="99"/>
      <c r="J202" s="99"/>
      <c r="K202" s="99"/>
    </row>
    <row r="203" spans="1:11" ht="12" customHeight="1">
      <c r="A203" s="25">
        <v>174</v>
      </c>
      <c r="B203" s="18"/>
      <c r="C203" s="22"/>
      <c r="D203" s="21"/>
      <c r="E203" s="26"/>
      <c r="F203" s="79"/>
      <c r="G203" s="82"/>
      <c r="H203" s="80"/>
      <c r="I203" s="99"/>
      <c r="J203" s="99"/>
      <c r="K203" s="99"/>
    </row>
    <row r="204" spans="1:11" ht="12" customHeight="1">
      <c r="A204" s="25">
        <v>175</v>
      </c>
      <c r="B204" s="18"/>
      <c r="C204" s="22"/>
      <c r="D204" s="21"/>
      <c r="E204" s="26"/>
      <c r="F204" s="79"/>
      <c r="G204" s="82"/>
      <c r="H204" s="80"/>
      <c r="I204" s="99"/>
      <c r="J204" s="99"/>
      <c r="K204" s="99"/>
    </row>
    <row r="205" spans="1:11" ht="12" customHeight="1">
      <c r="A205" s="25">
        <v>176</v>
      </c>
      <c r="B205" s="18"/>
      <c r="C205" s="22"/>
      <c r="D205" s="21"/>
      <c r="E205" s="26"/>
      <c r="F205" s="79"/>
      <c r="G205" s="82"/>
      <c r="H205" s="80"/>
      <c r="I205" s="99"/>
      <c r="J205" s="99"/>
      <c r="K205" s="99"/>
    </row>
    <row r="206" spans="1:11" ht="12" customHeight="1">
      <c r="A206" s="25">
        <v>177</v>
      </c>
      <c r="B206" s="18"/>
      <c r="C206" s="22"/>
      <c r="D206" s="21"/>
      <c r="E206" s="26"/>
      <c r="F206" s="79"/>
      <c r="G206" s="82"/>
      <c r="H206" s="80"/>
      <c r="I206" s="99"/>
      <c r="J206" s="99"/>
      <c r="K206" s="99"/>
    </row>
    <row r="207" spans="1:11" ht="12" customHeight="1">
      <c r="A207" s="25">
        <v>178</v>
      </c>
      <c r="B207" s="18"/>
      <c r="C207" s="22"/>
      <c r="D207" s="21"/>
      <c r="E207" s="26"/>
      <c r="F207" s="79"/>
      <c r="G207" s="82"/>
      <c r="H207" s="80"/>
      <c r="I207" s="99"/>
      <c r="J207" s="99"/>
      <c r="K207" s="99"/>
    </row>
    <row r="208" spans="1:11" ht="12" customHeight="1">
      <c r="A208" s="25">
        <v>179</v>
      </c>
      <c r="B208" s="18"/>
      <c r="C208" s="22"/>
      <c r="D208" s="21"/>
      <c r="E208" s="26"/>
      <c r="F208" s="79"/>
      <c r="G208" s="82"/>
      <c r="H208" s="80"/>
      <c r="I208" s="99"/>
      <c r="J208" s="99"/>
      <c r="K208" s="99"/>
    </row>
    <row r="209" spans="1:11" ht="12" customHeight="1">
      <c r="A209" s="25">
        <v>180</v>
      </c>
      <c r="B209" s="18"/>
      <c r="C209" s="22"/>
      <c r="D209" s="21"/>
      <c r="E209" s="26"/>
      <c r="F209" s="79"/>
      <c r="G209" s="82"/>
      <c r="H209" s="80"/>
      <c r="I209" s="99"/>
      <c r="J209" s="99"/>
      <c r="K209" s="99"/>
    </row>
    <row r="210" spans="1:11" ht="12" customHeight="1">
      <c r="A210" s="25">
        <v>181</v>
      </c>
      <c r="B210" s="18"/>
      <c r="C210" s="22"/>
      <c r="D210" s="21"/>
      <c r="E210" s="26"/>
      <c r="F210" s="79"/>
      <c r="G210" s="82"/>
      <c r="H210" s="80"/>
      <c r="I210" s="99"/>
      <c r="J210" s="99"/>
      <c r="K210" s="99"/>
    </row>
    <row r="211" spans="1:11" ht="12" customHeight="1">
      <c r="A211" s="25">
        <v>182</v>
      </c>
      <c r="B211" s="18"/>
      <c r="C211" s="22"/>
      <c r="D211" s="21"/>
      <c r="E211" s="26"/>
      <c r="F211" s="79"/>
      <c r="G211" s="82"/>
      <c r="H211" s="80"/>
      <c r="I211" s="99"/>
      <c r="J211" s="99"/>
      <c r="K211" s="99"/>
    </row>
    <row r="212" spans="1:11" ht="12" customHeight="1">
      <c r="A212" s="25">
        <v>183</v>
      </c>
      <c r="B212" s="18"/>
      <c r="C212" s="22"/>
      <c r="D212" s="21"/>
      <c r="E212" s="26"/>
      <c r="F212" s="79"/>
      <c r="G212" s="82"/>
      <c r="H212" s="80"/>
      <c r="I212" s="99"/>
      <c r="J212" s="99"/>
      <c r="K212" s="99"/>
    </row>
    <row r="213" spans="1:11" ht="12" customHeight="1">
      <c r="A213" s="25">
        <v>184</v>
      </c>
      <c r="B213" s="18"/>
      <c r="C213" s="22"/>
      <c r="D213" s="21"/>
      <c r="E213" s="26"/>
      <c r="F213" s="79"/>
      <c r="G213" s="82"/>
      <c r="H213" s="80"/>
      <c r="I213" s="99"/>
      <c r="J213" s="99"/>
      <c r="K213" s="99"/>
    </row>
    <row r="214" spans="1:11" ht="12" customHeight="1">
      <c r="A214" s="25">
        <v>185</v>
      </c>
      <c r="B214" s="18"/>
      <c r="C214" s="22"/>
      <c r="D214" s="21"/>
      <c r="E214" s="26"/>
      <c r="F214" s="79"/>
      <c r="G214" s="82"/>
      <c r="H214" s="80"/>
      <c r="I214" s="99"/>
      <c r="J214" s="99"/>
      <c r="K214" s="99"/>
    </row>
    <row r="215" spans="1:11" ht="12" customHeight="1">
      <c r="A215" s="25">
        <v>186</v>
      </c>
      <c r="B215" s="18"/>
      <c r="C215" s="22"/>
      <c r="D215" s="21"/>
      <c r="E215" s="26"/>
      <c r="F215" s="79"/>
      <c r="G215" s="82"/>
      <c r="H215" s="80"/>
      <c r="I215" s="99"/>
      <c r="J215" s="99"/>
      <c r="K215" s="99"/>
    </row>
    <row r="216" spans="1:11" ht="12" customHeight="1">
      <c r="A216" s="25">
        <v>187</v>
      </c>
      <c r="B216" s="18"/>
      <c r="C216" s="22"/>
      <c r="D216" s="21"/>
      <c r="E216" s="26"/>
      <c r="F216" s="79"/>
      <c r="G216" s="82"/>
      <c r="H216" s="80"/>
      <c r="I216" s="99"/>
      <c r="J216" s="99"/>
      <c r="K216" s="99"/>
    </row>
    <row r="217" spans="1:11" ht="12" customHeight="1">
      <c r="A217" s="25">
        <v>188</v>
      </c>
      <c r="B217" s="18"/>
      <c r="C217" s="22"/>
      <c r="D217" s="21"/>
      <c r="E217" s="26"/>
      <c r="F217" s="79"/>
      <c r="G217" s="82"/>
      <c r="H217" s="80"/>
      <c r="I217" s="99"/>
      <c r="J217" s="99"/>
      <c r="K217" s="99"/>
    </row>
    <row r="218" spans="1:11" ht="12" customHeight="1">
      <c r="A218" s="25">
        <v>189</v>
      </c>
      <c r="B218" s="18"/>
      <c r="C218" s="22"/>
      <c r="D218" s="21"/>
      <c r="E218" s="26"/>
      <c r="F218" s="79"/>
      <c r="G218" s="82"/>
      <c r="H218" s="80"/>
      <c r="I218" s="99"/>
      <c r="J218" s="99"/>
      <c r="K218" s="99"/>
    </row>
    <row r="219" spans="1:11" ht="12" customHeight="1">
      <c r="A219" s="25">
        <v>190</v>
      </c>
      <c r="B219" s="18"/>
      <c r="C219" s="22"/>
      <c r="D219" s="21"/>
      <c r="E219" s="26"/>
      <c r="F219" s="79"/>
      <c r="G219" s="82"/>
      <c r="H219" s="80"/>
      <c r="I219" s="99"/>
      <c r="J219" s="99"/>
      <c r="K219" s="99"/>
    </row>
    <row r="220" spans="1:11" ht="12" customHeight="1">
      <c r="A220" s="25">
        <v>191</v>
      </c>
      <c r="B220" s="18"/>
      <c r="C220" s="22"/>
      <c r="D220" s="21"/>
      <c r="E220" s="26"/>
      <c r="F220" s="79"/>
      <c r="G220" s="82"/>
      <c r="H220" s="80"/>
      <c r="I220" s="99"/>
      <c r="J220" s="99"/>
      <c r="K220" s="99"/>
    </row>
    <row r="221" spans="1:11" ht="12" customHeight="1">
      <c r="A221" s="25">
        <v>192</v>
      </c>
      <c r="B221" s="18"/>
      <c r="C221" s="22"/>
      <c r="D221" s="21"/>
      <c r="E221" s="26"/>
      <c r="F221" s="79"/>
      <c r="G221" s="82"/>
      <c r="H221" s="80"/>
      <c r="I221" s="99"/>
      <c r="J221" s="99"/>
      <c r="K221" s="99"/>
    </row>
    <row r="222" spans="1:11" ht="12" customHeight="1">
      <c r="A222" s="25">
        <v>193</v>
      </c>
      <c r="B222" s="18"/>
      <c r="C222" s="22"/>
      <c r="D222" s="21"/>
      <c r="E222" s="26"/>
      <c r="F222" s="79"/>
      <c r="G222" s="82"/>
      <c r="H222" s="80"/>
      <c r="I222" s="99"/>
      <c r="J222" s="99"/>
      <c r="K222" s="99"/>
    </row>
    <row r="223" spans="1:11" ht="12" customHeight="1">
      <c r="A223" s="25">
        <v>194</v>
      </c>
      <c r="B223" s="18"/>
      <c r="C223" s="22"/>
      <c r="D223" s="21"/>
      <c r="E223" s="26"/>
      <c r="F223" s="79"/>
      <c r="G223" s="82"/>
      <c r="H223" s="80"/>
      <c r="I223" s="99"/>
      <c r="J223" s="99"/>
      <c r="K223" s="99"/>
    </row>
    <row r="224" spans="1:11" ht="12" customHeight="1">
      <c r="A224" s="25">
        <v>195</v>
      </c>
      <c r="B224" s="18"/>
      <c r="C224" s="22"/>
      <c r="D224" s="21"/>
      <c r="E224" s="26"/>
      <c r="F224" s="79"/>
      <c r="G224" s="82"/>
      <c r="H224" s="80"/>
      <c r="I224" s="99"/>
      <c r="J224" s="99"/>
      <c r="K224" s="99"/>
    </row>
    <row r="225" spans="1:11" ht="12" customHeight="1">
      <c r="A225" s="25">
        <v>196</v>
      </c>
      <c r="B225" s="18"/>
      <c r="C225" s="22"/>
      <c r="D225" s="21"/>
      <c r="E225" s="26"/>
      <c r="F225" s="79"/>
      <c r="G225" s="82"/>
      <c r="H225" s="80"/>
      <c r="I225" s="99"/>
      <c r="J225" s="99"/>
      <c r="K225" s="99"/>
    </row>
    <row r="226" spans="1:11" ht="12" customHeight="1">
      <c r="A226" s="25">
        <v>197</v>
      </c>
      <c r="B226" s="18"/>
      <c r="C226" s="22"/>
      <c r="D226" s="21"/>
      <c r="E226" s="26"/>
      <c r="F226" s="79"/>
      <c r="G226" s="82"/>
      <c r="H226" s="80"/>
      <c r="I226" s="99"/>
      <c r="J226" s="99"/>
      <c r="K226" s="99"/>
    </row>
    <row r="227" spans="1:11" ht="12" customHeight="1">
      <c r="A227" s="25">
        <v>198</v>
      </c>
      <c r="B227" s="18"/>
      <c r="C227" s="22"/>
      <c r="D227" s="21"/>
      <c r="E227" s="26"/>
      <c r="F227" s="79"/>
      <c r="G227" s="82"/>
      <c r="H227" s="80"/>
      <c r="I227" s="99"/>
      <c r="J227" s="99"/>
      <c r="K227" s="99"/>
    </row>
    <row r="228" spans="1:11" ht="12" customHeight="1">
      <c r="A228" s="25">
        <v>199</v>
      </c>
      <c r="B228" s="18"/>
      <c r="C228" s="22"/>
      <c r="D228" s="21"/>
      <c r="E228" s="26"/>
      <c r="F228" s="79"/>
      <c r="G228" s="82"/>
      <c r="H228" s="80"/>
      <c r="I228" s="99"/>
      <c r="J228" s="99"/>
      <c r="K228" s="99"/>
    </row>
    <row r="229" spans="1:11" ht="12" customHeight="1">
      <c r="A229" s="25">
        <v>200</v>
      </c>
      <c r="B229" s="18"/>
      <c r="C229" s="22"/>
      <c r="D229" s="21"/>
      <c r="E229" s="26"/>
      <c r="F229" s="79"/>
      <c r="G229" s="82"/>
      <c r="H229" s="80"/>
      <c r="I229" s="99"/>
      <c r="J229" s="99"/>
      <c r="K229" s="99"/>
    </row>
    <row r="230" spans="1:11" ht="12" customHeight="1">
      <c r="A230" s="23">
        <v>201</v>
      </c>
      <c r="B230" s="18"/>
      <c r="C230" s="22"/>
      <c r="D230" s="21"/>
      <c r="E230" s="85"/>
      <c r="F230" s="86"/>
      <c r="G230" s="87"/>
      <c r="H230" s="90"/>
      <c r="I230" s="99"/>
      <c r="J230" s="99"/>
      <c r="K230" s="99"/>
    </row>
    <row r="231" spans="2:8" ht="12.75">
      <c r="B231" s="18"/>
      <c r="C231" s="22"/>
      <c r="D231" s="84"/>
      <c r="E231" s="88"/>
      <c r="F231" s="88"/>
      <c r="G231" s="89"/>
      <c r="H231" s="89"/>
    </row>
    <row r="232" spans="2:8" ht="12.75">
      <c r="B232" s="18"/>
      <c r="C232" s="22"/>
      <c r="D232" s="84"/>
      <c r="E232" s="88"/>
      <c r="F232" s="88"/>
      <c r="G232" s="89"/>
      <c r="H232" s="89"/>
    </row>
    <row r="233" spans="2:8" ht="12.75">
      <c r="B233" s="18"/>
      <c r="C233" s="22"/>
      <c r="D233" s="84"/>
      <c r="E233" s="88"/>
      <c r="F233" s="88"/>
      <c r="G233" s="89"/>
      <c r="H233" s="89"/>
    </row>
    <row r="234" spans="2:8" ht="12.75">
      <c r="B234" s="18"/>
      <c r="C234" s="22"/>
      <c r="D234" s="84"/>
      <c r="E234" s="88"/>
      <c r="F234" s="88"/>
      <c r="G234" s="89"/>
      <c r="H234" s="89"/>
    </row>
    <row r="235" spans="2:8" ht="12.75">
      <c r="B235" s="18"/>
      <c r="C235" s="22"/>
      <c r="D235" s="84"/>
      <c r="E235" s="88"/>
      <c r="F235" s="88"/>
      <c r="G235" s="89"/>
      <c r="H235" s="89"/>
    </row>
    <row r="236" spans="2:8" ht="12.75">
      <c r="B236" s="18"/>
      <c r="C236" s="22"/>
      <c r="D236" s="84"/>
      <c r="E236" s="88"/>
      <c r="F236" s="88"/>
      <c r="G236" s="89"/>
      <c r="H236" s="89"/>
    </row>
    <row r="237" spans="2:8" ht="12.75">
      <c r="B237" s="18"/>
      <c r="C237" s="22"/>
      <c r="D237" s="84"/>
      <c r="E237" s="88"/>
      <c r="F237" s="88"/>
      <c r="G237" s="89"/>
      <c r="H237" s="89"/>
    </row>
    <row r="238" spans="2:8" ht="12.75">
      <c r="B238" s="18"/>
      <c r="C238" s="22"/>
      <c r="D238" s="84"/>
      <c r="E238" s="88"/>
      <c r="F238" s="88"/>
      <c r="G238" s="89"/>
      <c r="H238" s="89"/>
    </row>
    <row r="239" spans="2:8" ht="12.75">
      <c r="B239" s="18"/>
      <c r="C239" s="22"/>
      <c r="D239" s="84"/>
      <c r="E239" s="88"/>
      <c r="F239" s="88"/>
      <c r="G239" s="89"/>
      <c r="H239" s="89"/>
    </row>
    <row r="240" spans="2:8" ht="12.75">
      <c r="B240" s="18"/>
      <c r="C240" s="22"/>
      <c r="D240" s="84"/>
      <c r="E240" s="88"/>
      <c r="F240" s="88"/>
      <c r="G240" s="89"/>
      <c r="H240" s="89"/>
    </row>
    <row r="241" spans="2:8" ht="12.75">
      <c r="B241" s="18"/>
      <c r="C241" s="22"/>
      <c r="D241" s="84"/>
      <c r="E241" s="88"/>
      <c r="F241" s="88"/>
      <c r="G241" s="89"/>
      <c r="H241" s="89"/>
    </row>
    <row r="242" spans="2:8" ht="12.75">
      <c r="B242" s="18"/>
      <c r="C242" s="22"/>
      <c r="D242" s="84"/>
      <c r="E242" s="88"/>
      <c r="F242" s="88"/>
      <c r="G242" s="89"/>
      <c r="H242" s="89"/>
    </row>
    <row r="243" spans="2:8" ht="12.75">
      <c r="B243" s="18"/>
      <c r="C243" s="22"/>
      <c r="D243" s="84"/>
      <c r="E243" s="88"/>
      <c r="F243" s="88"/>
      <c r="G243" s="89"/>
      <c r="H243" s="89"/>
    </row>
    <row r="244" spans="2:8" ht="12.75">
      <c r="B244" s="18"/>
      <c r="C244" s="22"/>
      <c r="D244" s="84"/>
      <c r="E244" s="88"/>
      <c r="F244" s="88"/>
      <c r="G244" s="89"/>
      <c r="H244" s="89"/>
    </row>
    <row r="245" spans="2:8" ht="12.75">
      <c r="B245" s="18"/>
      <c r="C245" s="22"/>
      <c r="D245" s="84"/>
      <c r="E245" s="88"/>
      <c r="F245" s="88"/>
      <c r="G245" s="89"/>
      <c r="H245" s="89"/>
    </row>
    <row r="246" spans="2:8" ht="12.75">
      <c r="B246" s="18"/>
      <c r="C246" s="22"/>
      <c r="D246" s="84"/>
      <c r="E246" s="88"/>
      <c r="F246" s="88"/>
      <c r="G246" s="89"/>
      <c r="H246" s="89"/>
    </row>
    <row r="247" spans="2:8" ht="12.75">
      <c r="B247" s="18"/>
      <c r="C247" s="22"/>
      <c r="D247" s="84"/>
      <c r="E247" s="88"/>
      <c r="F247" s="88"/>
      <c r="G247" s="89"/>
      <c r="H247" s="89"/>
    </row>
    <row r="248" spans="2:8" ht="12.75">
      <c r="B248" s="18"/>
      <c r="C248" s="22"/>
      <c r="D248" s="84"/>
      <c r="E248" s="88"/>
      <c r="F248" s="88"/>
      <c r="G248" s="89"/>
      <c r="H248" s="89"/>
    </row>
    <row r="249" spans="2:8" ht="12.75">
      <c r="B249" s="18"/>
      <c r="C249" s="22"/>
      <c r="D249" s="84"/>
      <c r="E249" s="88"/>
      <c r="F249" s="88"/>
      <c r="G249" s="89"/>
      <c r="H249" s="89"/>
    </row>
    <row r="250" spans="2:8" ht="12.75">
      <c r="B250" s="18"/>
      <c r="C250" s="22"/>
      <c r="D250" s="84"/>
      <c r="E250" s="88"/>
      <c r="F250" s="88"/>
      <c r="G250" s="89"/>
      <c r="H250" s="89"/>
    </row>
    <row r="251" spans="2:8" ht="12.75">
      <c r="B251" s="18"/>
      <c r="C251" s="22"/>
      <c r="D251" s="84"/>
      <c r="E251" s="88"/>
      <c r="F251" s="88"/>
      <c r="G251" s="89"/>
      <c r="H251" s="89"/>
    </row>
    <row r="252" spans="2:8" ht="12.75">
      <c r="B252" s="18"/>
      <c r="C252" s="22"/>
      <c r="D252" s="84"/>
      <c r="E252" s="88"/>
      <c r="F252" s="88"/>
      <c r="G252" s="89"/>
      <c r="H252" s="89"/>
    </row>
    <row r="253" spans="2:8" ht="12.75">
      <c r="B253" s="18"/>
      <c r="C253" s="22"/>
      <c r="D253" s="84"/>
      <c r="E253" s="88"/>
      <c r="F253" s="88"/>
      <c r="G253" s="89"/>
      <c r="H253" s="89"/>
    </row>
    <row r="254" spans="2:8" ht="12.75">
      <c r="B254" s="18"/>
      <c r="C254" s="22"/>
      <c r="D254" s="84"/>
      <c r="E254" s="88"/>
      <c r="F254" s="88"/>
      <c r="G254" s="89"/>
      <c r="H254" s="89"/>
    </row>
    <row r="255" spans="2:8" ht="12.75">
      <c r="B255" s="18"/>
      <c r="C255" s="22"/>
      <c r="D255" s="84"/>
      <c r="E255" s="88"/>
      <c r="F255" s="88"/>
      <c r="G255" s="89"/>
      <c r="H255" s="89"/>
    </row>
    <row r="256" spans="2:8" ht="12.75">
      <c r="B256" s="18"/>
      <c r="C256" s="22"/>
      <c r="D256" s="84"/>
      <c r="E256" s="88"/>
      <c r="F256" s="88"/>
      <c r="G256" s="89"/>
      <c r="H256" s="89"/>
    </row>
    <row r="257" spans="2:8" ht="13.5" customHeight="1">
      <c r="B257" s="18"/>
      <c r="C257" s="22"/>
      <c r="D257" s="84"/>
      <c r="E257" s="88"/>
      <c r="F257" s="88"/>
      <c r="G257" s="89"/>
      <c r="H257" s="89"/>
    </row>
    <row r="258" spans="2:8" ht="18" customHeight="1">
      <c r="B258" s="18"/>
      <c r="C258" s="22"/>
      <c r="D258" s="84"/>
      <c r="E258" s="89"/>
      <c r="F258" s="89"/>
      <c r="G258" s="89"/>
      <c r="H258" s="89"/>
    </row>
    <row r="259" spans="2:8" ht="15" customHeight="1">
      <c r="B259" s="18"/>
      <c r="C259" s="22"/>
      <c r="D259" s="84"/>
      <c r="E259" s="89"/>
      <c r="F259" s="89"/>
      <c r="G259" s="89"/>
      <c r="H259" s="89"/>
    </row>
    <row r="260" spans="2:8" ht="15" customHeight="1">
      <c r="B260" s="18"/>
      <c r="C260" s="22"/>
      <c r="D260" s="84"/>
      <c r="E260" s="89"/>
      <c r="F260" s="89"/>
      <c r="G260" s="89"/>
      <c r="H260" s="89"/>
    </row>
    <row r="261" spans="2:8" ht="12.75">
      <c r="B261" s="18"/>
      <c r="C261" s="22"/>
      <c r="D261" s="84"/>
      <c r="E261" s="89"/>
      <c r="F261" s="89"/>
      <c r="G261" s="89"/>
      <c r="H261" s="89"/>
    </row>
    <row r="262" spans="2:8" ht="16.5" customHeight="1">
      <c r="B262" s="18"/>
      <c r="C262" s="22"/>
      <c r="D262" s="84"/>
      <c r="E262" s="89"/>
      <c r="F262" s="89"/>
      <c r="G262" s="89"/>
      <c r="H262" s="89"/>
    </row>
    <row r="263" spans="2:8" ht="16.5" customHeight="1">
      <c r="B263" s="18"/>
      <c r="C263" s="22"/>
      <c r="D263" s="84"/>
      <c r="E263" s="89"/>
      <c r="F263" s="89"/>
      <c r="G263" s="89"/>
      <c r="H263" s="89"/>
    </row>
    <row r="264" spans="2:8" ht="16.5" customHeight="1">
      <c r="B264" s="18"/>
      <c r="C264" s="22"/>
      <c r="D264" s="84"/>
      <c r="E264" s="89"/>
      <c r="F264" s="89"/>
      <c r="G264" s="89"/>
      <c r="H264" s="89"/>
    </row>
    <row r="265" spans="2:8" ht="12.75">
      <c r="B265" s="18"/>
      <c r="C265" s="22"/>
      <c r="D265" s="84"/>
      <c r="E265" s="89"/>
      <c r="F265" s="89"/>
      <c r="G265" s="89"/>
      <c r="H265" s="89"/>
    </row>
    <row r="266" spans="2:8" ht="12.75">
      <c r="B266" s="18"/>
      <c r="C266" s="22"/>
      <c r="D266" s="84"/>
      <c r="E266" s="89"/>
      <c r="F266" s="89"/>
      <c r="G266" s="89"/>
      <c r="H266" s="89"/>
    </row>
    <row r="267" spans="2:8" ht="16.5" customHeight="1">
      <c r="B267" s="18"/>
      <c r="C267" s="22"/>
      <c r="D267" s="84"/>
      <c r="E267" s="89"/>
      <c r="F267" s="89"/>
      <c r="G267" s="89"/>
      <c r="H267" s="89"/>
    </row>
    <row r="268" spans="2:8" ht="12.75">
      <c r="B268" s="18"/>
      <c r="C268" s="22"/>
      <c r="D268" s="84"/>
      <c r="E268" s="89"/>
      <c r="F268" s="89"/>
      <c r="G268" s="89"/>
      <c r="H268" s="89"/>
    </row>
    <row r="269" spans="2:8" ht="12.75">
      <c r="B269" s="18"/>
      <c r="C269" s="22"/>
      <c r="D269" s="84"/>
      <c r="E269" s="89"/>
      <c r="F269" s="89"/>
      <c r="G269" s="89"/>
      <c r="H269" s="89"/>
    </row>
    <row r="270" spans="2:8" ht="12.75">
      <c r="B270" s="18"/>
      <c r="C270" s="22"/>
      <c r="D270" s="84"/>
      <c r="E270" s="89"/>
      <c r="F270" s="89"/>
      <c r="G270" s="89"/>
      <c r="H270" s="89"/>
    </row>
    <row r="271" spans="2:8" ht="12.75">
      <c r="B271" s="18"/>
      <c r="C271" s="22"/>
      <c r="D271" s="84"/>
      <c r="E271" s="89"/>
      <c r="F271" s="89"/>
      <c r="G271" s="89"/>
      <c r="H271" s="89"/>
    </row>
    <row r="272" spans="2:8" ht="12.75">
      <c r="B272" s="18"/>
      <c r="C272" s="22"/>
      <c r="D272" s="84"/>
      <c r="E272" s="89"/>
      <c r="F272" s="89"/>
      <c r="G272" s="89"/>
      <c r="H272" s="89"/>
    </row>
    <row r="273" spans="2:8" ht="12.75">
      <c r="B273" s="18"/>
      <c r="C273" s="22"/>
      <c r="D273" s="84"/>
      <c r="E273" s="89"/>
      <c r="F273" s="89"/>
      <c r="G273" s="89"/>
      <c r="H273" s="89"/>
    </row>
    <row r="274" spans="2:8" ht="12.75">
      <c r="B274" s="18"/>
      <c r="C274" s="22"/>
      <c r="D274" s="84"/>
      <c r="E274" s="89"/>
      <c r="F274" s="89"/>
      <c r="G274" s="89"/>
      <c r="H274" s="89"/>
    </row>
    <row r="275" spans="2:8" ht="12.75">
      <c r="B275" s="18"/>
      <c r="C275" s="22"/>
      <c r="D275" s="84"/>
      <c r="E275" s="89"/>
      <c r="F275" s="89"/>
      <c r="G275" s="89"/>
      <c r="H275" s="89"/>
    </row>
    <row r="276" spans="2:8" ht="12.75">
      <c r="B276" s="18"/>
      <c r="C276" s="22"/>
      <c r="D276" s="84"/>
      <c r="E276" s="89"/>
      <c r="F276" s="89"/>
      <c r="G276" s="89"/>
      <c r="H276" s="89"/>
    </row>
    <row r="277" spans="2:8" ht="12.75">
      <c r="B277" s="18"/>
      <c r="C277" s="22"/>
      <c r="D277" s="84"/>
      <c r="E277" s="89"/>
      <c r="F277" s="89"/>
      <c r="G277" s="89"/>
      <c r="H277" s="89"/>
    </row>
    <row r="278" spans="2:8" ht="12.75">
      <c r="B278" s="18"/>
      <c r="C278" s="22"/>
      <c r="D278" s="84"/>
      <c r="E278" s="89"/>
      <c r="F278" s="89"/>
      <c r="G278" s="89"/>
      <c r="H278" s="89"/>
    </row>
    <row r="279" spans="2:8" ht="12.75">
      <c r="B279" s="18"/>
      <c r="C279" s="22"/>
      <c r="D279" s="84"/>
      <c r="E279" s="89"/>
      <c r="F279" s="89"/>
      <c r="G279" s="89"/>
      <c r="H279" s="89"/>
    </row>
    <row r="280" spans="2:8" ht="12.75">
      <c r="B280" s="18"/>
      <c r="C280" s="22"/>
      <c r="D280" s="84"/>
      <c r="E280" s="89"/>
      <c r="F280" s="89"/>
      <c r="G280" s="89"/>
      <c r="H280" s="89"/>
    </row>
    <row r="281" spans="2:8" ht="12.75">
      <c r="B281" s="18"/>
      <c r="C281" s="22"/>
      <c r="D281" s="84"/>
      <c r="E281" s="89"/>
      <c r="F281" s="89"/>
      <c r="G281" s="89"/>
      <c r="H281" s="89"/>
    </row>
    <row r="282" spans="2:8" ht="12.75">
      <c r="B282" s="18"/>
      <c r="C282" s="22"/>
      <c r="D282" s="84"/>
      <c r="E282" s="89"/>
      <c r="F282" s="89"/>
      <c r="G282" s="89"/>
      <c r="H282" s="89"/>
    </row>
    <row r="283" spans="2:8" ht="12.75">
      <c r="B283" s="18"/>
      <c r="C283" s="22"/>
      <c r="D283" s="84"/>
      <c r="E283" s="89"/>
      <c r="F283" s="89"/>
      <c r="G283" s="89"/>
      <c r="H283" s="89"/>
    </row>
    <row r="284" spans="2:8" ht="12.75">
      <c r="B284" s="18"/>
      <c r="C284" s="22"/>
      <c r="D284" s="84"/>
      <c r="E284" s="89"/>
      <c r="F284" s="89"/>
      <c r="G284" s="89"/>
      <c r="H284" s="89"/>
    </row>
    <row r="285" spans="2:8" ht="12.75">
      <c r="B285" s="18"/>
      <c r="C285" s="22"/>
      <c r="D285" s="84"/>
      <c r="E285" s="89"/>
      <c r="F285" s="89"/>
      <c r="G285" s="89"/>
      <c r="H285" s="89"/>
    </row>
    <row r="286" spans="2:8" ht="12.75">
      <c r="B286" s="18"/>
      <c r="C286" s="22"/>
      <c r="D286" s="84"/>
      <c r="E286" s="89"/>
      <c r="F286" s="89"/>
      <c r="G286" s="89"/>
      <c r="H286" s="89"/>
    </row>
    <row r="287" spans="2:8" ht="12.75">
      <c r="B287" s="18"/>
      <c r="C287" s="22"/>
      <c r="D287" s="84"/>
      <c r="E287" s="89"/>
      <c r="F287" s="89"/>
      <c r="G287" s="89"/>
      <c r="H287" s="89"/>
    </row>
    <row r="288" spans="2:8" ht="12.75">
      <c r="B288" s="18"/>
      <c r="C288" s="22"/>
      <c r="D288" s="84"/>
      <c r="E288" s="89"/>
      <c r="F288" s="89"/>
      <c r="G288" s="89"/>
      <c r="H288" s="89"/>
    </row>
    <row r="289" spans="2:8" ht="12.75">
      <c r="B289" s="18"/>
      <c r="C289" s="22"/>
      <c r="D289" s="84"/>
      <c r="E289" s="89"/>
      <c r="F289" s="89"/>
      <c r="G289" s="89"/>
      <c r="H289" s="89"/>
    </row>
    <row r="290" spans="2:8" ht="12.75">
      <c r="B290" s="18"/>
      <c r="C290" s="22"/>
      <c r="D290" s="84"/>
      <c r="E290" s="89"/>
      <c r="F290" s="89"/>
      <c r="G290" s="89"/>
      <c r="H290" s="89"/>
    </row>
    <row r="291" spans="2:8" ht="12.75">
      <c r="B291" s="18"/>
      <c r="C291" s="22"/>
      <c r="D291" s="84"/>
      <c r="E291" s="89"/>
      <c r="F291" s="89"/>
      <c r="G291" s="89"/>
      <c r="H291" s="89"/>
    </row>
    <row r="292" spans="2:8" ht="12.75">
      <c r="B292" s="18"/>
      <c r="C292" s="22"/>
      <c r="D292" s="84"/>
      <c r="E292" s="88"/>
      <c r="F292" s="88"/>
      <c r="G292" s="89"/>
      <c r="H292" s="89"/>
    </row>
    <row r="293" spans="2:8" ht="12.75">
      <c r="B293" s="18"/>
      <c r="C293" s="22"/>
      <c r="D293" s="84"/>
      <c r="E293" s="88"/>
      <c r="F293" s="88"/>
      <c r="G293" s="89"/>
      <c r="H293" s="89"/>
    </row>
    <row r="294" spans="2:8" ht="12.75">
      <c r="B294" s="18"/>
      <c r="C294" s="22"/>
      <c r="D294" s="84"/>
      <c r="E294" s="88"/>
      <c r="F294" s="89"/>
      <c r="G294" s="89"/>
      <c r="H294" s="89"/>
    </row>
    <row r="295" spans="2:8" ht="12.75">
      <c r="B295" s="18"/>
      <c r="C295" s="22"/>
      <c r="D295" s="84"/>
      <c r="E295" s="88"/>
      <c r="F295" s="89"/>
      <c r="G295" s="89"/>
      <c r="H295" s="89"/>
    </row>
    <row r="296" spans="2:8" ht="12.75">
      <c r="B296" s="18"/>
      <c r="C296" s="22"/>
      <c r="D296" s="84"/>
      <c r="E296" s="88"/>
      <c r="F296" s="89"/>
      <c r="G296" s="89"/>
      <c r="H296" s="89"/>
    </row>
    <row r="297" spans="2:8" ht="12.75">
      <c r="B297" s="18"/>
      <c r="C297" s="22"/>
      <c r="D297" s="84"/>
      <c r="E297" s="88"/>
      <c r="F297" s="89"/>
      <c r="G297" s="89"/>
      <c r="H297" s="89"/>
    </row>
    <row r="298" spans="2:8" ht="12.75">
      <c r="B298" s="18"/>
      <c r="C298" s="22"/>
      <c r="D298" s="84"/>
      <c r="E298" s="88"/>
      <c r="F298" s="89"/>
      <c r="G298" s="89"/>
      <c r="H298" s="89"/>
    </row>
    <row r="299" spans="2:8" ht="12.75">
      <c r="B299" s="18"/>
      <c r="C299" s="22"/>
      <c r="D299" s="84"/>
      <c r="E299" s="88"/>
      <c r="F299" s="89"/>
      <c r="G299" s="89"/>
      <c r="H299" s="89"/>
    </row>
    <row r="300" spans="2:8" ht="12.75">
      <c r="B300" s="18"/>
      <c r="C300" s="22"/>
      <c r="D300" s="84"/>
      <c r="E300" s="88"/>
      <c r="F300" s="89"/>
      <c r="G300" s="89"/>
      <c r="H300" s="89"/>
    </row>
    <row r="301" spans="2:8" ht="12.75">
      <c r="B301" s="18"/>
      <c r="C301" s="22"/>
      <c r="D301" s="84"/>
      <c r="E301" s="88"/>
      <c r="F301" s="89"/>
      <c r="G301" s="89"/>
      <c r="H301" s="89"/>
    </row>
    <row r="302" spans="2:8" ht="12.75">
      <c r="B302" s="18"/>
      <c r="C302" s="22"/>
      <c r="D302" s="84"/>
      <c r="E302" s="88"/>
      <c r="F302" s="89"/>
      <c r="G302" s="89"/>
      <c r="H302" s="89"/>
    </row>
    <row r="303" spans="2:8" ht="12.75">
      <c r="B303" s="18"/>
      <c r="C303" s="22"/>
      <c r="D303" s="84"/>
      <c r="E303" s="88"/>
      <c r="F303" s="89"/>
      <c r="G303" s="89"/>
      <c r="H303" s="89"/>
    </row>
    <row r="304" spans="2:8" ht="12.75">
      <c r="B304" s="18"/>
      <c r="C304" s="22"/>
      <c r="D304" s="84"/>
      <c r="E304" s="88"/>
      <c r="F304" s="89"/>
      <c r="G304" s="89"/>
      <c r="H304" s="89"/>
    </row>
    <row r="305" spans="2:8" ht="12.75">
      <c r="B305" s="18"/>
      <c r="C305" s="22"/>
      <c r="D305" s="84"/>
      <c r="E305" s="88"/>
      <c r="F305" s="89"/>
      <c r="G305" s="89"/>
      <c r="H305" s="89"/>
    </row>
    <row r="306" spans="2:8" ht="12.75">
      <c r="B306" s="18"/>
      <c r="C306" s="22"/>
      <c r="D306" s="84"/>
      <c r="E306" s="88"/>
      <c r="F306" s="89"/>
      <c r="G306" s="89"/>
      <c r="H306" s="89"/>
    </row>
    <row r="307" spans="2:8" ht="12.75">
      <c r="B307" s="18"/>
      <c r="C307" s="22"/>
      <c r="D307" s="84"/>
      <c r="E307" s="88"/>
      <c r="F307" s="89"/>
      <c r="G307" s="89"/>
      <c r="H307" s="89"/>
    </row>
    <row r="308" spans="2:8" ht="12.75">
      <c r="B308" s="18"/>
      <c r="C308" s="22"/>
      <c r="D308" s="84"/>
      <c r="E308" s="88"/>
      <c r="F308" s="89"/>
      <c r="G308" s="89"/>
      <c r="H308" s="89"/>
    </row>
    <row r="309" spans="2:8" ht="12.75">
      <c r="B309" s="18"/>
      <c r="C309" s="22"/>
      <c r="D309" s="84"/>
      <c r="E309" s="88"/>
      <c r="F309" s="89"/>
      <c r="G309" s="89"/>
      <c r="H309" s="89"/>
    </row>
    <row r="310" spans="2:8" ht="12.75">
      <c r="B310" s="18"/>
      <c r="C310" s="22"/>
      <c r="D310" s="84"/>
      <c r="E310" s="88"/>
      <c r="F310" s="89"/>
      <c r="G310" s="89"/>
      <c r="H310" s="89"/>
    </row>
    <row r="311" spans="2:8" ht="12.75">
      <c r="B311" s="18"/>
      <c r="C311" s="22"/>
      <c r="D311" s="84"/>
      <c r="E311" s="88"/>
      <c r="F311" s="89"/>
      <c r="G311" s="89"/>
      <c r="H311" s="89"/>
    </row>
    <row r="312" spans="2:8" ht="12.75">
      <c r="B312" s="18"/>
      <c r="C312" s="22"/>
      <c r="D312" s="84"/>
      <c r="E312" s="88"/>
      <c r="F312" s="89"/>
      <c r="G312" s="89"/>
      <c r="H312" s="89"/>
    </row>
    <row r="313" spans="2:8" ht="12.75">
      <c r="B313" s="18"/>
      <c r="C313" s="22"/>
      <c r="D313" s="84"/>
      <c r="E313" s="88"/>
      <c r="F313" s="89"/>
      <c r="G313" s="89"/>
      <c r="H313" s="89"/>
    </row>
    <row r="314" spans="2:8" ht="12.75">
      <c r="B314" s="18"/>
      <c r="C314" s="22"/>
      <c r="D314" s="84"/>
      <c r="E314" s="88"/>
      <c r="F314" s="89"/>
      <c r="G314" s="89"/>
      <c r="H314" s="89"/>
    </row>
    <row r="315" spans="2:8" ht="12.75">
      <c r="B315" s="18"/>
      <c r="C315" s="22"/>
      <c r="D315" s="84"/>
      <c r="E315" s="88"/>
      <c r="F315" s="89"/>
      <c r="G315" s="89"/>
      <c r="H315" s="89"/>
    </row>
    <row r="316" spans="2:8" ht="12.75">
      <c r="B316" s="18"/>
      <c r="C316" s="22"/>
      <c r="D316" s="84"/>
      <c r="E316" s="88"/>
      <c r="F316" s="89"/>
      <c r="G316" s="89"/>
      <c r="H316" s="89"/>
    </row>
    <row r="317" spans="2:8" ht="12.75">
      <c r="B317" s="18"/>
      <c r="C317" s="22"/>
      <c r="D317" s="84"/>
      <c r="E317" s="88"/>
      <c r="F317" s="89"/>
      <c r="G317" s="89"/>
      <c r="H317" s="89"/>
    </row>
    <row r="318" spans="2:8" ht="12.75">
      <c r="B318" s="18"/>
      <c r="C318" s="22"/>
      <c r="D318" s="84"/>
      <c r="E318" s="88"/>
      <c r="F318" s="89"/>
      <c r="G318" s="89"/>
      <c r="H318" s="89"/>
    </row>
    <row r="319" spans="2:8" ht="12.75">
      <c r="B319" s="18"/>
      <c r="C319" s="22"/>
      <c r="D319" s="84"/>
      <c r="E319" s="88"/>
      <c r="F319" s="89"/>
      <c r="G319" s="89"/>
      <c r="H319" s="89"/>
    </row>
    <row r="320" spans="2:8" ht="12.75">
      <c r="B320" s="18"/>
      <c r="C320" s="22"/>
      <c r="D320" s="84"/>
      <c r="E320" s="88"/>
      <c r="F320" s="89"/>
      <c r="G320" s="89"/>
      <c r="H320" s="89"/>
    </row>
    <row r="321" spans="2:8" ht="12.75">
      <c r="B321" s="18"/>
      <c r="C321" s="22"/>
      <c r="D321" s="84"/>
      <c r="E321" s="88"/>
      <c r="F321" s="89"/>
      <c r="G321" s="89"/>
      <c r="H321" s="89"/>
    </row>
    <row r="322" spans="2:8" ht="12.75">
      <c r="B322" s="18"/>
      <c r="C322" s="22"/>
      <c r="D322" s="84"/>
      <c r="E322" s="88"/>
      <c r="F322" s="89"/>
      <c r="G322" s="89"/>
      <c r="H322" s="89"/>
    </row>
    <row r="323" spans="2:8" ht="12.75">
      <c r="B323" s="18"/>
      <c r="C323" s="22"/>
      <c r="D323" s="84"/>
      <c r="E323" s="88"/>
      <c r="F323" s="89"/>
      <c r="G323" s="89"/>
      <c r="H323" s="89"/>
    </row>
    <row r="324" spans="2:8" ht="12.75">
      <c r="B324" s="18"/>
      <c r="C324" s="22"/>
      <c r="D324" s="84"/>
      <c r="E324" s="88"/>
      <c r="F324" s="89"/>
      <c r="G324" s="89"/>
      <c r="H324" s="89"/>
    </row>
    <row r="325" spans="2:8" ht="12.75">
      <c r="B325" s="18"/>
      <c r="C325" s="22"/>
      <c r="D325" s="84"/>
      <c r="E325" s="88"/>
      <c r="F325" s="89"/>
      <c r="G325" s="89"/>
      <c r="H325" s="89"/>
    </row>
    <row r="326" spans="2:8" ht="12.75">
      <c r="B326" s="18"/>
      <c r="C326" s="22"/>
      <c r="D326" s="84"/>
      <c r="E326" s="88"/>
      <c r="F326" s="89"/>
      <c r="G326" s="89"/>
      <c r="H326" s="89"/>
    </row>
    <row r="327" spans="2:8" ht="12.75">
      <c r="B327" s="18"/>
      <c r="C327" s="22"/>
      <c r="D327" s="84"/>
      <c r="E327" s="89"/>
      <c r="F327" s="89"/>
      <c r="G327" s="89"/>
      <c r="H327" s="89"/>
    </row>
    <row r="328" spans="2:8" ht="12.75">
      <c r="B328" s="18"/>
      <c r="C328" s="22"/>
      <c r="D328" s="84"/>
      <c r="E328" s="89"/>
      <c r="F328" s="89"/>
      <c r="G328" s="89"/>
      <c r="H328" s="89"/>
    </row>
    <row r="329" spans="2:8" ht="12.75">
      <c r="B329" s="18"/>
      <c r="C329" s="22"/>
      <c r="D329" s="84"/>
      <c r="E329" s="89"/>
      <c r="F329" s="89"/>
      <c r="G329" s="89"/>
      <c r="H329" s="89"/>
    </row>
    <row r="330" spans="2:8" ht="12.75">
      <c r="B330" s="18"/>
      <c r="C330" s="22"/>
      <c r="D330" s="84"/>
      <c r="E330" s="89"/>
      <c r="F330" s="89"/>
      <c r="G330" s="89"/>
      <c r="H330" s="89"/>
    </row>
    <row r="331" spans="2:8" ht="12.75">
      <c r="B331" s="18"/>
      <c r="C331" s="22"/>
      <c r="D331" s="84"/>
      <c r="E331" s="89"/>
      <c r="F331" s="89"/>
      <c r="G331" s="89"/>
      <c r="H331" s="89"/>
    </row>
    <row r="332" spans="2:8" ht="12.75">
      <c r="B332" s="18"/>
      <c r="C332" s="22"/>
      <c r="D332" s="84"/>
      <c r="E332" s="89"/>
      <c r="F332" s="89"/>
      <c r="G332" s="89"/>
      <c r="H332" s="89"/>
    </row>
    <row r="333" spans="2:8" ht="12.75">
      <c r="B333" s="18"/>
      <c r="C333" s="22"/>
      <c r="D333" s="84"/>
      <c r="E333" s="89"/>
      <c r="F333" s="89"/>
      <c r="G333" s="89"/>
      <c r="H333" s="89"/>
    </row>
    <row r="334" spans="2:8" ht="12.75">
      <c r="B334" s="18"/>
      <c r="C334" s="22"/>
      <c r="D334" s="84"/>
      <c r="E334" s="89"/>
      <c r="F334" s="89"/>
      <c r="G334" s="89"/>
      <c r="H334" s="89"/>
    </row>
    <row r="335" spans="2:8" ht="12.75">
      <c r="B335" s="18"/>
      <c r="C335" s="22"/>
      <c r="D335" s="84"/>
      <c r="E335" s="89"/>
      <c r="F335" s="89"/>
      <c r="G335" s="89"/>
      <c r="H335" s="89"/>
    </row>
    <row r="336" spans="2:8" ht="12.75">
      <c r="B336" s="18"/>
      <c r="C336" s="22"/>
      <c r="D336" s="84"/>
      <c r="E336" s="89"/>
      <c r="F336" s="89"/>
      <c r="G336" s="89"/>
      <c r="H336" s="89"/>
    </row>
    <row r="337" spans="2:8" ht="12.75">
      <c r="B337" s="18"/>
      <c r="C337" s="22"/>
      <c r="D337" s="84"/>
      <c r="E337" s="89"/>
      <c r="F337" s="89"/>
      <c r="G337" s="89"/>
      <c r="H337" s="89"/>
    </row>
    <row r="338" spans="2:8" ht="12.75">
      <c r="B338" s="18"/>
      <c r="C338" s="22"/>
      <c r="D338" s="84"/>
      <c r="E338" s="89"/>
      <c r="F338" s="89"/>
      <c r="G338" s="89"/>
      <c r="H338" s="89"/>
    </row>
    <row r="339" spans="2:8" ht="12.75">
      <c r="B339" s="18"/>
      <c r="C339" s="22"/>
      <c r="D339" s="84"/>
      <c r="E339" s="89"/>
      <c r="F339" s="89"/>
      <c r="G339" s="89"/>
      <c r="H339" s="89"/>
    </row>
    <row r="340" spans="2:8" ht="12.75">
      <c r="B340" s="18"/>
      <c r="C340" s="22"/>
      <c r="D340" s="84"/>
      <c r="E340" s="89"/>
      <c r="F340" s="89"/>
      <c r="G340" s="89"/>
      <c r="H340" s="89"/>
    </row>
    <row r="341" spans="2:8" ht="12.75">
      <c r="B341" s="18"/>
      <c r="C341" s="22"/>
      <c r="D341" s="84"/>
      <c r="E341" s="89"/>
      <c r="F341" s="89"/>
      <c r="G341" s="89"/>
      <c r="H341" s="89"/>
    </row>
    <row r="342" spans="2:8" ht="12.75">
      <c r="B342" s="18"/>
      <c r="C342" s="22"/>
      <c r="D342" s="84"/>
      <c r="E342" s="89"/>
      <c r="F342" s="89"/>
      <c r="G342" s="89"/>
      <c r="H342" s="89"/>
    </row>
    <row r="343" spans="2:8" ht="12.75">
      <c r="B343" s="18"/>
      <c r="C343" s="22"/>
      <c r="D343" s="84"/>
      <c r="E343" s="89"/>
      <c r="F343" s="89"/>
      <c r="G343" s="89"/>
      <c r="H343" s="89"/>
    </row>
    <row r="344" spans="2:8" ht="12.75">
      <c r="B344" s="18"/>
      <c r="C344" s="22"/>
      <c r="D344" s="84"/>
      <c r="E344" s="89"/>
      <c r="F344" s="89"/>
      <c r="G344" s="89"/>
      <c r="H344" s="89"/>
    </row>
    <row r="345" spans="2:8" ht="12.75">
      <c r="B345" s="18"/>
      <c r="C345" s="22"/>
      <c r="D345" s="84"/>
      <c r="E345" s="89"/>
      <c r="F345" s="89"/>
      <c r="G345" s="89"/>
      <c r="H345" s="89"/>
    </row>
    <row r="346" spans="2:8" ht="12.75">
      <c r="B346" s="18"/>
      <c r="C346" s="22"/>
      <c r="D346" s="84"/>
      <c r="E346" s="89"/>
      <c r="F346" s="89"/>
      <c r="G346" s="89"/>
      <c r="H346" s="89"/>
    </row>
    <row r="347" spans="2:8" ht="12.75">
      <c r="B347" s="18"/>
      <c r="C347" s="22"/>
      <c r="D347" s="84"/>
      <c r="E347" s="89"/>
      <c r="F347" s="89"/>
      <c r="G347" s="89"/>
      <c r="H347" s="89"/>
    </row>
    <row r="348" spans="2:8" ht="12.75">
      <c r="B348" s="18"/>
      <c r="C348" s="22"/>
      <c r="D348" s="84"/>
      <c r="E348" s="89"/>
      <c r="F348" s="89"/>
      <c r="G348" s="89"/>
      <c r="H348" s="89"/>
    </row>
    <row r="349" spans="2:8" ht="12.75">
      <c r="B349" s="18"/>
      <c r="C349" s="22"/>
      <c r="D349" s="84"/>
      <c r="E349" s="89"/>
      <c r="F349" s="89"/>
      <c r="G349" s="89"/>
      <c r="H349" s="89"/>
    </row>
    <row r="350" spans="2:8" ht="12.75">
      <c r="B350" s="18"/>
      <c r="C350" s="22"/>
      <c r="D350" s="84"/>
      <c r="E350" s="89"/>
      <c r="F350" s="89"/>
      <c r="G350" s="89"/>
      <c r="H350" s="89"/>
    </row>
    <row r="351" spans="2:8" ht="12.75">
      <c r="B351" s="18"/>
      <c r="C351" s="22"/>
      <c r="D351" s="84"/>
      <c r="E351" s="89"/>
      <c r="F351" s="89"/>
      <c r="G351" s="89"/>
      <c r="H351" s="89"/>
    </row>
    <row r="352" spans="2:8" ht="12.75">
      <c r="B352" s="18"/>
      <c r="C352" s="22"/>
      <c r="D352" s="84"/>
      <c r="E352" s="89"/>
      <c r="F352" s="89"/>
      <c r="G352" s="89"/>
      <c r="H352" s="89"/>
    </row>
    <row r="353" spans="2:8" ht="12.75">
      <c r="B353" s="18"/>
      <c r="C353" s="22"/>
      <c r="D353" s="84"/>
      <c r="E353" s="89"/>
      <c r="F353" s="89"/>
      <c r="G353" s="89"/>
      <c r="H353" s="89"/>
    </row>
    <row r="354" spans="2:8" ht="12.75">
      <c r="B354" s="18"/>
      <c r="C354" s="22"/>
      <c r="D354" s="84"/>
      <c r="E354" s="89"/>
      <c r="F354" s="89"/>
      <c r="G354" s="89"/>
      <c r="H354" s="89"/>
    </row>
    <row r="355" spans="2:8" ht="12.75">
      <c r="B355" s="18"/>
      <c r="C355" s="22"/>
      <c r="D355" s="84"/>
      <c r="E355" s="89"/>
      <c r="F355" s="89"/>
      <c r="G355" s="89"/>
      <c r="H355" s="89"/>
    </row>
    <row r="356" spans="2:8" ht="12.75">
      <c r="B356" s="18"/>
      <c r="C356" s="22"/>
      <c r="D356" s="84"/>
      <c r="E356" s="89"/>
      <c r="F356" s="89"/>
      <c r="G356" s="89"/>
      <c r="H356" s="89"/>
    </row>
    <row r="357" spans="2:8" ht="12.75">
      <c r="B357" s="18"/>
      <c r="C357" s="22"/>
      <c r="D357" s="84"/>
      <c r="E357" s="89"/>
      <c r="F357" s="89"/>
      <c r="G357" s="89"/>
      <c r="H357" s="89"/>
    </row>
    <row r="358" spans="2:8" ht="12.75">
      <c r="B358" s="18"/>
      <c r="C358" s="22"/>
      <c r="D358" s="84"/>
      <c r="E358" s="89"/>
      <c r="F358" s="89"/>
      <c r="G358" s="89"/>
      <c r="H358" s="89"/>
    </row>
    <row r="359" spans="2:8" ht="12.75">
      <c r="B359" s="18"/>
      <c r="C359" s="22"/>
      <c r="D359" s="84"/>
      <c r="E359" s="89"/>
      <c r="F359" s="89"/>
      <c r="G359" s="89"/>
      <c r="H359" s="89"/>
    </row>
    <row r="360" spans="2:8" ht="12.75">
      <c r="B360" s="18"/>
      <c r="C360" s="22"/>
      <c r="D360" s="84"/>
      <c r="E360" s="89"/>
      <c r="F360" s="89"/>
      <c r="G360" s="89"/>
      <c r="H360" s="89"/>
    </row>
    <row r="361" spans="2:8" ht="12.75">
      <c r="B361" s="18"/>
      <c r="C361" s="22"/>
      <c r="D361" s="84"/>
      <c r="E361" s="89"/>
      <c r="F361" s="89"/>
      <c r="G361" s="89"/>
      <c r="H361" s="89"/>
    </row>
    <row r="362" spans="2:8" ht="12.75">
      <c r="B362" s="18"/>
      <c r="C362" s="22"/>
      <c r="D362" s="84"/>
      <c r="E362" s="89"/>
      <c r="F362" s="89"/>
      <c r="G362" s="89"/>
      <c r="H362" s="89"/>
    </row>
    <row r="363" spans="2:8" ht="12.75">
      <c r="B363" s="18"/>
      <c r="C363" s="22"/>
      <c r="D363" s="84"/>
      <c r="E363" s="89"/>
      <c r="F363" s="89"/>
      <c r="G363" s="89"/>
      <c r="H363" s="89"/>
    </row>
    <row r="364" spans="2:8" ht="12.75">
      <c r="B364" s="18"/>
      <c r="C364" s="22"/>
      <c r="D364" s="84"/>
      <c r="E364" s="89"/>
      <c r="F364" s="89"/>
      <c r="G364" s="89"/>
      <c r="H364" s="89"/>
    </row>
    <row r="365" spans="2:8" ht="12.75">
      <c r="B365" s="18"/>
      <c r="C365" s="22"/>
      <c r="D365" s="84"/>
      <c r="E365" s="89"/>
      <c r="F365" s="89"/>
      <c r="G365" s="89"/>
      <c r="H365" s="89"/>
    </row>
    <row r="366" spans="2:8" ht="12.75">
      <c r="B366" s="18"/>
      <c r="C366" s="22"/>
      <c r="D366" s="84"/>
      <c r="E366" s="89"/>
      <c r="F366" s="89"/>
      <c r="G366" s="89"/>
      <c r="H366" s="89"/>
    </row>
    <row r="367" spans="2:8" ht="12.75">
      <c r="B367" s="18"/>
      <c r="C367" s="22"/>
      <c r="D367" s="84"/>
      <c r="E367" s="89"/>
      <c r="F367" s="89"/>
      <c r="G367" s="89"/>
      <c r="H367" s="89"/>
    </row>
    <row r="368" spans="2:8" ht="12.75">
      <c r="B368" s="18"/>
      <c r="C368" s="22"/>
      <c r="D368" s="84"/>
      <c r="E368" s="89"/>
      <c r="F368" s="89"/>
      <c r="G368" s="89"/>
      <c r="H368" s="89"/>
    </row>
    <row r="369" spans="2:8" ht="12.75">
      <c r="B369" s="18"/>
      <c r="C369" s="22"/>
      <c r="D369" s="84"/>
      <c r="E369" s="89"/>
      <c r="F369" s="89"/>
      <c r="G369" s="89"/>
      <c r="H369" s="89"/>
    </row>
    <row r="370" spans="2:8" ht="12.75">
      <c r="B370" s="18"/>
      <c r="C370" s="22"/>
      <c r="D370" s="84"/>
      <c r="E370" s="89"/>
      <c r="F370" s="89"/>
      <c r="G370" s="89"/>
      <c r="H370" s="89"/>
    </row>
    <row r="371" spans="2:8" ht="12.75">
      <c r="B371" s="18"/>
      <c r="C371" s="22"/>
      <c r="D371" s="84"/>
      <c r="E371" s="89"/>
      <c r="F371" s="89"/>
      <c r="G371" s="89"/>
      <c r="H371" s="89"/>
    </row>
    <row r="372" spans="2:8" ht="12.75">
      <c r="B372" s="18"/>
      <c r="C372" s="22"/>
      <c r="D372" s="84"/>
      <c r="E372" s="89"/>
      <c r="F372" s="89"/>
      <c r="G372" s="89"/>
      <c r="H372" s="89"/>
    </row>
    <row r="373" spans="2:8" ht="12.75">
      <c r="B373" s="18"/>
      <c r="C373" s="22"/>
      <c r="D373" s="84"/>
      <c r="E373" s="89"/>
      <c r="F373" s="89"/>
      <c r="G373" s="89"/>
      <c r="H373" s="89"/>
    </row>
    <row r="374" spans="2:8" ht="12.75">
      <c r="B374" s="18"/>
      <c r="C374" s="22"/>
      <c r="D374" s="84"/>
      <c r="E374" s="89"/>
      <c r="F374" s="89"/>
      <c r="G374" s="89"/>
      <c r="H374" s="89"/>
    </row>
    <row r="375" spans="2:8" ht="12.75">
      <c r="B375" s="18"/>
      <c r="C375" s="22"/>
      <c r="D375" s="84"/>
      <c r="E375" s="89"/>
      <c r="F375" s="89"/>
      <c r="G375" s="89"/>
      <c r="H375" s="89"/>
    </row>
    <row r="376" spans="2:8" ht="12.75">
      <c r="B376" s="18"/>
      <c r="C376" s="22"/>
      <c r="D376" s="84"/>
      <c r="E376" s="89"/>
      <c r="F376" s="89"/>
      <c r="G376" s="89"/>
      <c r="H376" s="89"/>
    </row>
    <row r="377" spans="2:8" ht="12.75">
      <c r="B377" s="18"/>
      <c r="C377" s="22"/>
      <c r="D377" s="84"/>
      <c r="E377" s="89"/>
      <c r="F377" s="89"/>
      <c r="G377" s="89"/>
      <c r="H377" s="89"/>
    </row>
    <row r="378" spans="2:8" ht="12.75">
      <c r="B378" s="18"/>
      <c r="C378" s="22"/>
      <c r="D378" s="84"/>
      <c r="E378" s="89"/>
      <c r="F378" s="89"/>
      <c r="G378" s="89"/>
      <c r="H378" s="89"/>
    </row>
    <row r="379" spans="2:8" ht="12.75">
      <c r="B379" s="18"/>
      <c r="C379" s="22"/>
      <c r="D379" s="84"/>
      <c r="E379" s="89"/>
      <c r="F379" s="89"/>
      <c r="G379" s="89"/>
      <c r="H379" s="89"/>
    </row>
    <row r="380" spans="2:8" ht="12.75">
      <c r="B380" s="18"/>
      <c r="C380" s="22"/>
      <c r="D380" s="84"/>
      <c r="E380" s="89"/>
      <c r="F380" s="89"/>
      <c r="G380" s="89"/>
      <c r="H380" s="89"/>
    </row>
    <row r="381" spans="2:8" ht="12.75">
      <c r="B381" s="18"/>
      <c r="C381" s="22"/>
      <c r="D381" s="84"/>
      <c r="E381" s="89"/>
      <c r="F381" s="89"/>
      <c r="G381" s="89"/>
      <c r="H381" s="89"/>
    </row>
    <row r="382" spans="2:8" ht="12.75">
      <c r="B382" s="18"/>
      <c r="C382" s="22"/>
      <c r="D382" s="84"/>
      <c r="E382" s="89"/>
      <c r="F382" s="89"/>
      <c r="G382" s="89"/>
      <c r="H382" s="89"/>
    </row>
    <row r="383" spans="2:8" ht="12.75">
      <c r="B383" s="18"/>
      <c r="C383" s="22"/>
      <c r="D383" s="84"/>
      <c r="E383" s="89"/>
      <c r="F383" s="89"/>
      <c r="G383" s="89"/>
      <c r="H383" s="89"/>
    </row>
    <row r="384" spans="2:8" ht="12.75">
      <c r="B384" s="18"/>
      <c r="C384" s="22"/>
      <c r="D384" s="84"/>
      <c r="E384" s="89"/>
      <c r="F384" s="89"/>
      <c r="G384" s="89"/>
      <c r="H384" s="89"/>
    </row>
    <row r="385" spans="2:8" ht="12.75">
      <c r="B385" s="18"/>
      <c r="C385" s="22"/>
      <c r="D385" s="84"/>
      <c r="E385" s="89"/>
      <c r="F385" s="89"/>
      <c r="G385" s="89"/>
      <c r="H385" s="89"/>
    </row>
    <row r="386" spans="2:8" ht="12.75">
      <c r="B386" s="18"/>
      <c r="C386" s="22"/>
      <c r="D386" s="84"/>
      <c r="E386" s="89"/>
      <c r="F386" s="89"/>
      <c r="G386" s="89"/>
      <c r="H386" s="89"/>
    </row>
    <row r="387" spans="2:8" ht="12.75">
      <c r="B387" s="18"/>
      <c r="C387" s="22"/>
      <c r="D387" s="84"/>
      <c r="E387" s="89"/>
      <c r="F387" s="89"/>
      <c r="G387" s="89"/>
      <c r="H387" s="89"/>
    </row>
    <row r="388" spans="2:8" ht="12.75">
      <c r="B388" s="18"/>
      <c r="C388" s="22"/>
      <c r="D388" s="84"/>
      <c r="E388" s="89"/>
      <c r="F388" s="89"/>
      <c r="G388" s="89"/>
      <c r="H388" s="89"/>
    </row>
    <row r="389" spans="2:8" ht="12.75">
      <c r="B389" s="18"/>
      <c r="C389" s="22"/>
      <c r="D389" s="84"/>
      <c r="E389" s="89"/>
      <c r="F389" s="89"/>
      <c r="G389" s="89"/>
      <c r="H389" s="89"/>
    </row>
    <row r="390" spans="2:8" ht="12.75">
      <c r="B390" s="18"/>
      <c r="C390" s="22"/>
      <c r="D390" s="84"/>
      <c r="E390" s="89"/>
      <c r="F390" s="89"/>
      <c r="G390" s="89"/>
      <c r="H390" s="89"/>
    </row>
    <row r="391" spans="2:8" ht="12.75">
      <c r="B391" s="18"/>
      <c r="C391" s="22"/>
      <c r="D391" s="84"/>
      <c r="E391" s="89"/>
      <c r="F391" s="89"/>
      <c r="G391" s="89"/>
      <c r="H391" s="89"/>
    </row>
    <row r="392" spans="2:8" ht="12.75">
      <c r="B392" s="18"/>
      <c r="C392" s="22"/>
      <c r="D392" s="84"/>
      <c r="E392" s="89"/>
      <c r="F392" s="89"/>
      <c r="G392" s="89"/>
      <c r="H392" s="89"/>
    </row>
    <row r="393" spans="2:8" ht="12.75">
      <c r="B393" s="18"/>
      <c r="C393" s="22"/>
      <c r="D393" s="84"/>
      <c r="E393" s="89"/>
      <c r="F393" s="89"/>
      <c r="G393" s="89"/>
      <c r="H393" s="89"/>
    </row>
    <row r="394" spans="2:8" ht="12.75">
      <c r="B394" s="18"/>
      <c r="C394" s="22"/>
      <c r="D394" s="84"/>
      <c r="E394" s="89"/>
      <c r="F394" s="89"/>
      <c r="G394" s="89"/>
      <c r="H394" s="89"/>
    </row>
    <row r="395" spans="2:8" ht="12.75">
      <c r="B395" s="18"/>
      <c r="C395" s="22"/>
      <c r="D395" s="84"/>
      <c r="E395" s="89"/>
      <c r="F395" s="89"/>
      <c r="G395" s="89"/>
      <c r="H395" s="89"/>
    </row>
    <row r="396" spans="2:8" ht="12.75">
      <c r="B396" s="18"/>
      <c r="C396" s="22"/>
      <c r="D396" s="84"/>
      <c r="E396" s="89"/>
      <c r="F396" s="89"/>
      <c r="G396" s="89"/>
      <c r="H396" s="89"/>
    </row>
    <row r="397" spans="2:8" ht="12.75">
      <c r="B397" s="18"/>
      <c r="C397" s="22"/>
      <c r="D397" s="84"/>
      <c r="E397" s="89"/>
      <c r="F397" s="89"/>
      <c r="G397" s="89"/>
      <c r="H397" s="89"/>
    </row>
    <row r="398" spans="2:8" ht="12.75">
      <c r="B398" s="18"/>
      <c r="C398" s="22"/>
      <c r="D398" s="84"/>
      <c r="E398" s="89"/>
      <c r="F398" s="89"/>
      <c r="G398" s="89"/>
      <c r="H398" s="89"/>
    </row>
    <row r="399" spans="2:8" ht="12.75">
      <c r="B399" s="18"/>
      <c r="C399" s="22"/>
      <c r="D399" s="84"/>
      <c r="E399" s="89"/>
      <c r="F399" s="89"/>
      <c r="G399" s="89"/>
      <c r="H399" s="89"/>
    </row>
    <row r="400" spans="2:8" ht="12.75">
      <c r="B400" s="18"/>
      <c r="C400" s="22"/>
      <c r="D400" s="84"/>
      <c r="E400" s="89"/>
      <c r="F400" s="89"/>
      <c r="G400" s="89"/>
      <c r="H400" s="89"/>
    </row>
    <row r="401" spans="2:8" ht="12.75">
      <c r="B401" s="18"/>
      <c r="C401" s="22"/>
      <c r="D401" s="84"/>
      <c r="E401" s="89"/>
      <c r="F401" s="89"/>
      <c r="G401" s="89"/>
      <c r="H401" s="89"/>
    </row>
    <row r="402" spans="2:8" ht="12.75">
      <c r="B402" s="18"/>
      <c r="C402" s="22"/>
      <c r="D402" s="84"/>
      <c r="E402" s="89"/>
      <c r="F402" s="89"/>
      <c r="G402" s="89"/>
      <c r="H402" s="89"/>
    </row>
    <row r="403" spans="2:8" ht="12.75">
      <c r="B403" s="18"/>
      <c r="C403" s="22"/>
      <c r="D403" s="84"/>
      <c r="E403" s="89"/>
      <c r="F403" s="89"/>
      <c r="G403" s="89"/>
      <c r="H403" s="89"/>
    </row>
    <row r="404" spans="2:8" ht="12.75">
      <c r="B404" s="18"/>
      <c r="C404" s="22"/>
      <c r="D404" s="84"/>
      <c r="E404" s="89"/>
      <c r="F404" s="89"/>
      <c r="G404" s="89"/>
      <c r="H404" s="89"/>
    </row>
    <row r="405" spans="2:8" ht="12.75">
      <c r="B405" s="18"/>
      <c r="C405" s="22"/>
      <c r="D405" s="84"/>
      <c r="E405" s="89"/>
      <c r="F405" s="89"/>
      <c r="G405" s="89"/>
      <c r="H405" s="89"/>
    </row>
    <row r="406" spans="2:8" ht="12.75">
      <c r="B406" s="18"/>
      <c r="C406" s="22"/>
      <c r="D406" s="84"/>
      <c r="E406" s="89"/>
      <c r="F406" s="89"/>
      <c r="G406" s="89"/>
      <c r="H406" s="89"/>
    </row>
    <row r="407" spans="2:8" ht="12.75">
      <c r="B407" s="18"/>
      <c r="C407" s="22"/>
      <c r="D407" s="84"/>
      <c r="E407" s="89"/>
      <c r="F407" s="89"/>
      <c r="G407" s="89"/>
      <c r="H407" s="89"/>
    </row>
    <row r="408" spans="2:8" ht="12.75">
      <c r="B408" s="18"/>
      <c r="C408" s="22"/>
      <c r="D408" s="84"/>
      <c r="E408" s="89"/>
      <c r="F408" s="89"/>
      <c r="G408" s="89"/>
      <c r="H408" s="89"/>
    </row>
    <row r="409" spans="2:8" ht="12.75">
      <c r="B409" s="18"/>
      <c r="C409" s="22"/>
      <c r="D409" s="84"/>
      <c r="E409" s="89"/>
      <c r="F409" s="89"/>
      <c r="G409" s="89"/>
      <c r="H409" s="89"/>
    </row>
    <row r="410" spans="2:8" ht="12.75">
      <c r="B410" s="18"/>
      <c r="C410" s="22"/>
      <c r="D410" s="84"/>
      <c r="E410" s="89"/>
      <c r="F410" s="89"/>
      <c r="G410" s="89"/>
      <c r="H410" s="89"/>
    </row>
    <row r="411" spans="2:8" ht="12.75">
      <c r="B411" s="18"/>
      <c r="C411" s="22"/>
      <c r="D411" s="84"/>
      <c r="E411" s="89"/>
      <c r="F411" s="89"/>
      <c r="G411" s="89"/>
      <c r="H411" s="89"/>
    </row>
    <row r="412" spans="2:8" ht="12.75">
      <c r="B412" s="18"/>
      <c r="C412" s="22"/>
      <c r="D412" s="84"/>
      <c r="E412" s="89"/>
      <c r="F412" s="89"/>
      <c r="G412" s="89"/>
      <c r="H412" s="89"/>
    </row>
    <row r="413" spans="2:8" ht="12.75">
      <c r="B413" s="18"/>
      <c r="C413" s="22"/>
      <c r="D413" s="84"/>
      <c r="E413" s="89"/>
      <c r="F413" s="89"/>
      <c r="G413" s="89"/>
      <c r="H413" s="89"/>
    </row>
    <row r="414" spans="2:8" ht="12.75">
      <c r="B414" s="18"/>
      <c r="C414" s="22"/>
      <c r="D414" s="84"/>
      <c r="E414" s="89"/>
      <c r="F414" s="89"/>
      <c r="G414" s="89"/>
      <c r="H414" s="89"/>
    </row>
    <row r="415" spans="2:8" ht="12.75">
      <c r="B415" s="18"/>
      <c r="C415" s="22"/>
      <c r="D415" s="84"/>
      <c r="E415" s="89"/>
      <c r="F415" s="89"/>
      <c r="G415" s="89"/>
      <c r="H415" s="89"/>
    </row>
    <row r="416" spans="2:8" ht="12.75">
      <c r="B416" s="18"/>
      <c r="C416" s="22"/>
      <c r="D416" s="84"/>
      <c r="E416" s="89"/>
      <c r="F416" s="89"/>
      <c r="G416" s="89"/>
      <c r="H416" s="89"/>
    </row>
    <row r="417" spans="2:8" ht="12.75">
      <c r="B417" s="18"/>
      <c r="C417" s="22"/>
      <c r="D417" s="84"/>
      <c r="E417" s="89"/>
      <c r="F417" s="89"/>
      <c r="G417" s="89"/>
      <c r="H417" s="89"/>
    </row>
    <row r="418" spans="2:8" ht="12.75">
      <c r="B418" s="18"/>
      <c r="C418" s="22"/>
      <c r="D418" s="84"/>
      <c r="E418" s="89"/>
      <c r="F418" s="89"/>
      <c r="G418" s="89"/>
      <c r="H418" s="89"/>
    </row>
    <row r="419" spans="2:8" ht="12.75">
      <c r="B419" s="18"/>
      <c r="C419" s="22"/>
      <c r="D419" s="84"/>
      <c r="E419" s="89"/>
      <c r="F419" s="89"/>
      <c r="G419" s="89"/>
      <c r="H419" s="89"/>
    </row>
    <row r="420" spans="2:8" ht="12.75">
      <c r="B420" s="18"/>
      <c r="C420" s="22"/>
      <c r="D420" s="84"/>
      <c r="E420" s="89"/>
      <c r="F420" s="89"/>
      <c r="G420" s="89"/>
      <c r="H420" s="89"/>
    </row>
    <row r="421" spans="2:8" ht="12.75">
      <c r="B421" s="18"/>
      <c r="C421" s="22"/>
      <c r="D421" s="84"/>
      <c r="E421" s="89"/>
      <c r="F421" s="89"/>
      <c r="G421" s="89"/>
      <c r="H421" s="89"/>
    </row>
    <row r="422" spans="2:8" ht="12.75">
      <c r="B422" s="18"/>
      <c r="C422" s="22"/>
      <c r="D422" s="84"/>
      <c r="E422" s="89"/>
      <c r="F422" s="89"/>
      <c r="G422" s="89"/>
      <c r="H422" s="89"/>
    </row>
    <row r="423" spans="2:8" ht="12.75">
      <c r="B423" s="18"/>
      <c r="C423" s="22"/>
      <c r="D423" s="84"/>
      <c r="E423" s="89"/>
      <c r="F423" s="89"/>
      <c r="G423" s="89"/>
      <c r="H423" s="89"/>
    </row>
    <row r="424" spans="2:8" ht="12.75">
      <c r="B424" s="18"/>
      <c r="C424" s="22"/>
      <c r="D424" s="84"/>
      <c r="E424" s="89"/>
      <c r="F424" s="89"/>
      <c r="G424" s="89"/>
      <c r="H424" s="89"/>
    </row>
    <row r="425" spans="2:8" ht="12.75">
      <c r="B425" s="18"/>
      <c r="C425" s="22"/>
      <c r="D425" s="84"/>
      <c r="E425" s="89"/>
      <c r="F425" s="89"/>
      <c r="G425" s="89"/>
      <c r="H425" s="89"/>
    </row>
    <row r="426" spans="2:8" ht="12.75">
      <c r="B426" s="18"/>
      <c r="C426" s="22"/>
      <c r="D426" s="84"/>
      <c r="E426" s="89"/>
      <c r="F426" s="89"/>
      <c r="G426" s="89"/>
      <c r="H426" s="89"/>
    </row>
    <row r="427" spans="2:8" ht="12.75">
      <c r="B427" s="18"/>
      <c r="C427" s="22"/>
      <c r="D427" s="84"/>
      <c r="E427" s="89"/>
      <c r="F427" s="89"/>
      <c r="G427" s="89"/>
      <c r="H427" s="89"/>
    </row>
    <row r="428" spans="2:8" ht="12.75">
      <c r="B428" s="18"/>
      <c r="C428" s="22"/>
      <c r="D428" s="84"/>
      <c r="E428" s="89"/>
      <c r="F428" s="89"/>
      <c r="G428" s="89"/>
      <c r="H428" s="89"/>
    </row>
    <row r="429" spans="2:8" ht="12.75">
      <c r="B429" s="18"/>
      <c r="C429" s="22"/>
      <c r="D429" s="84"/>
      <c r="E429" s="89"/>
      <c r="F429" s="89"/>
      <c r="G429" s="89"/>
      <c r="H429" s="89"/>
    </row>
    <row r="430" spans="2:8" ht="12.75">
      <c r="B430" s="18"/>
      <c r="C430" s="22"/>
      <c r="D430" s="84"/>
      <c r="E430" s="89"/>
      <c r="F430" s="89"/>
      <c r="G430" s="89"/>
      <c r="H430" s="89"/>
    </row>
  </sheetData>
  <sheetProtection selectLockedCells="1" selectUnlockedCells="1"/>
  <mergeCells count="44">
    <mergeCell ref="B2:G5"/>
    <mergeCell ref="H2:H5"/>
    <mergeCell ref="I2:K3"/>
    <mergeCell ref="I4:K5"/>
    <mergeCell ref="B6:H7"/>
    <mergeCell ref="I6:K8"/>
    <mergeCell ref="C8:H8"/>
    <mergeCell ref="C9:E9"/>
    <mergeCell ref="G9:H9"/>
    <mergeCell ref="I9:K14"/>
    <mergeCell ref="C10:E10"/>
    <mergeCell ref="G10:H10"/>
    <mergeCell ref="C11:E11"/>
    <mergeCell ref="G11:H11"/>
    <mergeCell ref="C12:E12"/>
    <mergeCell ref="G12:H12"/>
    <mergeCell ref="C13:E13"/>
    <mergeCell ref="G13:H13"/>
    <mergeCell ref="B14:H14"/>
    <mergeCell ref="C15:H15"/>
    <mergeCell ref="C16:E16"/>
    <mergeCell ref="G16:H16"/>
    <mergeCell ref="C17:E17"/>
    <mergeCell ref="G17:H17"/>
    <mergeCell ref="C18:E18"/>
    <mergeCell ref="G18:H18"/>
    <mergeCell ref="I18:K28"/>
    <mergeCell ref="B19:H20"/>
    <mergeCell ref="C21:E21"/>
    <mergeCell ref="F21:H26"/>
    <mergeCell ref="C22:E22"/>
    <mergeCell ref="C23:E23"/>
    <mergeCell ref="C24:E24"/>
    <mergeCell ref="C25:E25"/>
    <mergeCell ref="I41:K230"/>
    <mergeCell ref="I37:K37"/>
    <mergeCell ref="I38:K40"/>
    <mergeCell ref="C26:E26"/>
    <mergeCell ref="A27:H28"/>
    <mergeCell ref="I29:K29"/>
    <mergeCell ref="I30:K36"/>
    <mergeCell ref="A1:A26"/>
    <mergeCell ref="B1:H1"/>
    <mergeCell ref="I1:K1"/>
  </mergeCells>
  <conditionalFormatting sqref="E30:E230">
    <cfRule type="expression" priority="15" dxfId="1" stopIfTrue="1">
      <formula>NOT(ISERROR(SEARCH("é;è",E30)))</formula>
    </cfRule>
    <cfRule type="expression" priority="16" dxfId="0" stopIfTrue="1">
      <formula>"SUM(--(MID(E30,ROW(INDIRECT(""1:""&amp;LEN(E30))),1)={""a"",""b"",""c"",""d"",""e"",""f"",""g"",""h"",""i"",""j"",""k"",""l"",""m"",""n"",""o"",""p"",""q"",""r"",""s"",""t"",""u"",""v"",""w"",""x"",""y"",""z"",""0"",""1"",""2"",""3"",""4"",""5"",""6"",""7"",""8"",""9"","" ""}))&lt;&gt;LEN(E30)"</formula>
    </cfRule>
  </conditionalFormatting>
  <conditionalFormatting sqref="E37:E75">
    <cfRule type="expression" priority="7" dxfId="1" stopIfTrue="1">
      <formula>NOT(ISERROR(SEARCH("é;è",E37)))</formula>
    </cfRule>
    <cfRule type="expression" priority="8" dxfId="0" stopIfTrue="1">
      <formula>"SUM(--(MID(E30,ROW(INDIRECT(""1:""&amp;LEN(E30))),1)={""a"",""b"",""c"",""d"",""e"",""f"",""g"",""h"",""i"",""j"",""k"",""l"",""m"",""n"",""o"",""p"",""q"",""r"",""s"",""t"",""u"",""v"",""w"",""x"",""y"",""z"",""0"",""1"",""2"",""3"",""4"",""5"",""6"",""7"",""8"",""9"","" ""}))&lt;&gt;LEN(E30)"</formula>
    </cfRule>
  </conditionalFormatting>
  <conditionalFormatting sqref="E30:E31">
    <cfRule type="expression" priority="5" dxfId="1" stopIfTrue="1">
      <formula>NOT(ISERROR(SEARCH("é;è",E30)))</formula>
    </cfRule>
    <cfRule type="expression" priority="6" dxfId="0" stopIfTrue="1">
      <formula>"SUM(--(MID(E30,ROW(INDIRECT(""1:""&amp;LEN(E30))),1)={""a"",""b"",""c"",""d"",""e"",""f"",""g"",""h"",""i"",""j"",""k"",""l"",""m"",""n"",""o"",""p"",""q"",""r"",""s"",""t"",""u"",""v"",""w"",""x"",""y"",""z"",""0"",""1"",""2"",""3"",""4"",""5"",""6"",""7"",""8"",""9"","" ""}))&lt;&gt;LEN(E30)"</formula>
    </cfRule>
  </conditionalFormatting>
  <conditionalFormatting sqref="E33:E34">
    <cfRule type="expression" priority="3" dxfId="1" stopIfTrue="1">
      <formula>NOT(ISERROR(SEARCH("é;è",E33)))</formula>
    </cfRule>
    <cfRule type="expression" priority="4" dxfId="0" stopIfTrue="1">
      <formula>"SUM(--(MID(E30,ROW(INDIRECT(""1:""&amp;LEN(E30))),1)={""a"",""b"",""c"",""d"",""e"",""f"",""g"",""h"",""i"",""j"",""k"",""l"",""m"",""n"",""o"",""p"",""q"",""r"",""s"",""t"",""u"",""v"",""w"",""x"",""y"",""z"",""0"",""1"",""2"",""3"",""4"",""5"",""6"",""7"",""8"",""9"","" ""}))&lt;&gt;LEN(E30)"</formula>
    </cfRule>
  </conditionalFormatting>
  <conditionalFormatting sqref="E36">
    <cfRule type="expression" priority="1" dxfId="1" stopIfTrue="1">
      <formula>NOT(ISERROR(SEARCH("é;è",E36)))</formula>
    </cfRule>
    <cfRule type="expression" priority="2" dxfId="0" stopIfTrue="1">
      <formula>"SUM(--(MID(E30,ROW(INDIRECT(""1:""&amp;LEN(E30))),1)={""a"",""b"",""c"",""d"",""e"",""f"",""g"",""h"",""i"",""j"",""k"",""l"",""m"",""n"",""o"",""p"",""q"",""r"",""s"",""t"",""u"",""v"",""w"",""x"",""y"",""z"",""0"",""1"",""2"",""3"",""4"",""5"",""6"",""7"",""8"",""9"","" ""}))&lt;&gt;LEN(E30)"</formula>
    </cfRule>
  </conditionalFormatting>
  <dataValidations count="7">
    <dataValidation allowBlank="1" showErrorMessage="1" prompt="&#10;" error="Please only select" sqref="F30:F230">
      <formula1>0</formula1>
      <formula2>0</formula2>
    </dataValidation>
    <dataValidation allowBlank="1" showErrorMessage="1" sqref="E30:E230">
      <formula1>0</formula1>
      <formula2>0</formula2>
    </dataValidation>
    <dataValidation type="list" allowBlank="1" showErrorMessage="1" sqref="H2:H5">
      <formula1>"English,Français"</formula1>
      <formula2>0</formula2>
    </dataValidation>
    <dataValidation type="list" allowBlank="1" showErrorMessage="1" sqref="C30:C430">
      <formula1>INDIRECT($B30)</formula1>
      <formula2>0</formula2>
    </dataValidation>
    <dataValidation type="list" allowBlank="1" showErrorMessage="1" sqref="D30:D430">
      <formula1>INDIRECT($B30&amp;$C30)</formula1>
      <formula2>0</formula2>
    </dataValidation>
    <dataValidation type="list" allowBlank="1" showErrorMessage="1" sqref="B30:B430">
      <formula1>Products</formula1>
      <formula2>0</formula2>
    </dataValidation>
    <dataValidation type="list" allowBlank="1" showErrorMessage="1" sqref="G12:H12">
      <formula1>PAYS</formula1>
      <formula2>0</formula2>
    </dataValidation>
  </dataValidations>
  <printOptions/>
  <pageMargins left="0.25" right="0.25" top="0.75" bottom="0.75" header="0.5118055555555555" footer="0.5118055555555555"/>
  <pageSetup fitToHeight="0" fitToWidth="1" horizontalDpi="300" verticalDpi="300" orientation="landscape"/>
  <drawing r:id="rId1"/>
</worksheet>
</file>

<file path=xl/worksheets/sheet2.xml><?xml version="1.0" encoding="utf-8"?>
<worksheet xmlns="http://schemas.openxmlformats.org/spreadsheetml/2006/main" xmlns:r="http://schemas.openxmlformats.org/officeDocument/2006/relationships">
  <sheetPr>
    <tabColor indexed="62"/>
  </sheetPr>
  <dimension ref="A1:AP67"/>
  <sheetViews>
    <sheetView zoomScale="66" zoomScaleNormal="66" zoomScalePageLayoutView="0" workbookViewId="0" topLeftCell="A11">
      <selection activeCell="C67" sqref="C67:J67"/>
    </sheetView>
  </sheetViews>
  <sheetFormatPr defaultColWidth="9.140625" defaultRowHeight="12.75"/>
  <cols>
    <col min="1" max="1" width="9.140625" style="0" customWidth="1"/>
    <col min="2" max="2" width="29.140625" style="0" customWidth="1"/>
    <col min="3" max="3" width="9.140625" style="0" customWidth="1"/>
    <col min="4" max="4" width="11.140625" style="0" bestFit="1" customWidth="1"/>
    <col min="5" max="10" width="9.140625" style="0" customWidth="1"/>
    <col min="11" max="11" width="30.140625" style="0" customWidth="1"/>
    <col min="12" max="18" width="9.140625" style="0" customWidth="1"/>
    <col min="19" max="19" width="28.8515625" style="0" customWidth="1"/>
    <col min="20" max="22" width="9.140625" style="0" customWidth="1"/>
    <col min="23" max="23" width="28.7109375" style="0" customWidth="1"/>
    <col min="24" max="24" width="10.421875" style="0" customWidth="1"/>
  </cols>
  <sheetData>
    <row r="1" spans="1:42" ht="12.75">
      <c r="A1" s="27"/>
      <c r="B1" s="121"/>
      <c r="C1" s="121"/>
      <c r="D1" s="121"/>
      <c r="E1" s="121"/>
      <c r="F1" s="121"/>
      <c r="G1" s="121"/>
      <c r="H1" s="121"/>
      <c r="I1" s="121"/>
      <c r="J1" s="121"/>
      <c r="K1" s="121"/>
      <c r="L1" s="121"/>
      <c r="M1" s="121"/>
      <c r="N1" s="121"/>
      <c r="O1" s="27"/>
      <c r="P1" s="27"/>
      <c r="Q1" s="27"/>
      <c r="R1" s="27"/>
      <c r="S1" s="27"/>
      <c r="T1" s="27"/>
      <c r="U1" s="27"/>
      <c r="V1" s="27"/>
      <c r="W1" s="27"/>
      <c r="X1" s="27"/>
      <c r="Y1" s="27"/>
      <c r="Z1" s="146"/>
      <c r="AA1" s="146"/>
      <c r="AB1" s="146"/>
      <c r="AC1" s="146"/>
      <c r="AD1" s="146"/>
      <c r="AE1" s="146"/>
      <c r="AF1" s="146"/>
      <c r="AG1" s="146"/>
      <c r="AH1" s="146"/>
      <c r="AI1" s="146"/>
      <c r="AJ1" s="146"/>
      <c r="AK1" s="146"/>
      <c r="AL1" s="146"/>
      <c r="AM1" s="146"/>
      <c r="AN1" s="146"/>
      <c r="AO1" s="146"/>
      <c r="AP1" s="146"/>
    </row>
    <row r="2" spans="1:42" ht="12.75">
      <c r="A2" s="27"/>
      <c r="B2" s="121"/>
      <c r="C2" s="121"/>
      <c r="D2" s="121"/>
      <c r="E2" s="121"/>
      <c r="F2" s="121"/>
      <c r="G2" s="121"/>
      <c r="H2" s="121"/>
      <c r="I2" s="121"/>
      <c r="J2" s="121"/>
      <c r="K2" s="121"/>
      <c r="L2" s="121"/>
      <c r="M2" s="121"/>
      <c r="N2" s="121"/>
      <c r="O2" s="27"/>
      <c r="P2" s="27"/>
      <c r="Q2" s="27"/>
      <c r="R2" s="27"/>
      <c r="S2" s="27"/>
      <c r="T2" s="27"/>
      <c r="U2" s="27"/>
      <c r="V2" s="27"/>
      <c r="W2" s="27"/>
      <c r="X2" s="27"/>
      <c r="Y2" s="27"/>
      <c r="Z2" s="146"/>
      <c r="AA2" s="146"/>
      <c r="AB2" s="146"/>
      <c r="AC2" s="146"/>
      <c r="AD2" s="146"/>
      <c r="AE2" s="146"/>
      <c r="AF2" s="146"/>
      <c r="AG2" s="146"/>
      <c r="AH2" s="146"/>
      <c r="AI2" s="146"/>
      <c r="AJ2" s="146"/>
      <c r="AK2" s="146"/>
      <c r="AL2" s="146"/>
      <c r="AM2" s="146"/>
      <c r="AN2" s="146"/>
      <c r="AO2" s="146"/>
      <c r="AP2" s="146"/>
    </row>
    <row r="3" spans="1:42" ht="12.75">
      <c r="A3" s="27"/>
      <c r="B3" s="121"/>
      <c r="C3" s="121"/>
      <c r="D3" s="121"/>
      <c r="E3" s="121"/>
      <c r="F3" s="121"/>
      <c r="G3" s="121"/>
      <c r="H3" s="121"/>
      <c r="I3" s="121"/>
      <c r="J3" s="121"/>
      <c r="K3" s="121"/>
      <c r="L3" s="121"/>
      <c r="M3" s="121"/>
      <c r="N3" s="121"/>
      <c r="O3" s="27"/>
      <c r="P3" s="27"/>
      <c r="Q3" s="27"/>
      <c r="R3" s="27"/>
      <c r="S3" s="27"/>
      <c r="T3" s="27"/>
      <c r="U3" s="27"/>
      <c r="V3" s="27"/>
      <c r="W3" s="27"/>
      <c r="X3" s="27"/>
      <c r="Y3" s="27"/>
      <c r="Z3" s="146"/>
      <c r="AA3" s="146"/>
      <c r="AB3" s="146"/>
      <c r="AC3" s="146"/>
      <c r="AD3" s="146"/>
      <c r="AE3" s="146"/>
      <c r="AF3" s="146"/>
      <c r="AG3" s="146"/>
      <c r="AH3" s="146"/>
      <c r="AI3" s="146"/>
      <c r="AJ3" s="146"/>
      <c r="AK3" s="146"/>
      <c r="AL3" s="146"/>
      <c r="AM3" s="146"/>
      <c r="AN3" s="146"/>
      <c r="AO3" s="146"/>
      <c r="AP3" s="146"/>
    </row>
    <row r="4" spans="1:42" ht="12.75">
      <c r="A4" s="27"/>
      <c r="B4" s="121"/>
      <c r="C4" s="121"/>
      <c r="D4" s="121"/>
      <c r="E4" s="121"/>
      <c r="F4" s="121"/>
      <c r="G4" s="121"/>
      <c r="H4" s="121"/>
      <c r="I4" s="121"/>
      <c r="J4" s="121"/>
      <c r="K4" s="121"/>
      <c r="L4" s="121"/>
      <c r="M4" s="121"/>
      <c r="N4" s="121"/>
      <c r="O4" s="27"/>
      <c r="P4" s="27"/>
      <c r="Q4" s="27"/>
      <c r="R4" s="27"/>
      <c r="S4" s="27"/>
      <c r="T4" s="27"/>
      <c r="U4" s="27"/>
      <c r="V4" s="27"/>
      <c r="W4" s="27"/>
      <c r="X4" s="27"/>
      <c r="Y4" s="27"/>
      <c r="Z4" s="146"/>
      <c r="AA4" s="146"/>
      <c r="AB4" s="146"/>
      <c r="AC4" s="146"/>
      <c r="AD4" s="146"/>
      <c r="AE4" s="146"/>
      <c r="AF4" s="146"/>
      <c r="AG4" s="146"/>
      <c r="AH4" s="146"/>
      <c r="AI4" s="146"/>
      <c r="AJ4" s="146"/>
      <c r="AK4" s="146"/>
      <c r="AL4" s="146"/>
      <c r="AM4" s="146"/>
      <c r="AN4" s="146"/>
      <c r="AO4" s="146"/>
      <c r="AP4" s="146"/>
    </row>
    <row r="5" spans="1:42" ht="11.25" customHeight="1">
      <c r="A5" s="27"/>
      <c r="B5" s="27"/>
      <c r="C5" s="27"/>
      <c r="D5" s="27"/>
      <c r="E5" s="27"/>
      <c r="F5" s="28"/>
      <c r="G5" s="27"/>
      <c r="H5" s="27"/>
      <c r="I5" s="27"/>
      <c r="J5" s="27"/>
      <c r="K5" s="27"/>
      <c r="L5" s="27"/>
      <c r="M5" s="27"/>
      <c r="N5" s="27"/>
      <c r="O5" s="27"/>
      <c r="P5" s="27"/>
      <c r="Q5" s="27"/>
      <c r="R5" s="27"/>
      <c r="S5" s="27"/>
      <c r="T5" s="27"/>
      <c r="U5" s="27"/>
      <c r="V5" s="27"/>
      <c r="W5" s="27"/>
      <c r="X5" s="27"/>
      <c r="Y5" s="27"/>
      <c r="Z5" s="146"/>
      <c r="AA5" s="146"/>
      <c r="AB5" s="146"/>
      <c r="AC5" s="146"/>
      <c r="AD5" s="146"/>
      <c r="AE5" s="146"/>
      <c r="AF5" s="146"/>
      <c r="AG5" s="146"/>
      <c r="AH5" s="146"/>
      <c r="AI5" s="146"/>
      <c r="AJ5" s="146"/>
      <c r="AK5" s="146"/>
      <c r="AL5" s="146"/>
      <c r="AM5" s="146"/>
      <c r="AN5" s="146"/>
      <c r="AO5" s="146"/>
      <c r="AP5" s="146"/>
    </row>
    <row r="6" spans="1:42" ht="34.5" customHeight="1">
      <c r="A6" s="27"/>
      <c r="B6" s="29" t="str">
        <f>IF('My order'!H2="English","TOTAL PRODUCTS","TOTAL PRODUITS")</f>
        <v>TOTAL PRODUCTS</v>
      </c>
      <c r="C6" s="30">
        <f>C38+C49+L38+L49+T38+C61+T63</f>
        <v>0</v>
      </c>
      <c r="D6" s="27"/>
      <c r="E6" s="28" t="str">
        <f>IF('My order'!H2="English","Summary","Récapitulatif")</f>
        <v>Summary</v>
      </c>
      <c r="F6" s="28"/>
      <c r="G6" s="27"/>
      <c r="H6" s="27"/>
      <c r="I6" s="27"/>
      <c r="J6" s="27"/>
      <c r="K6" s="27"/>
      <c r="L6" s="27"/>
      <c r="M6" s="27"/>
      <c r="N6" s="27"/>
      <c r="O6" s="27"/>
      <c r="P6" s="27"/>
      <c r="Q6" s="27"/>
      <c r="R6" s="27"/>
      <c r="S6" s="27"/>
      <c r="T6" s="27"/>
      <c r="U6" s="27"/>
      <c r="V6" s="27"/>
      <c r="W6" s="27"/>
      <c r="X6" s="27"/>
      <c r="Y6" s="27"/>
      <c r="Z6" s="146"/>
      <c r="AA6" s="146"/>
      <c r="AB6" s="146"/>
      <c r="AC6" s="146"/>
      <c r="AD6" s="146"/>
      <c r="AE6" s="146"/>
      <c r="AF6" s="146"/>
      <c r="AG6" s="146"/>
      <c r="AH6" s="146"/>
      <c r="AI6" s="146"/>
      <c r="AJ6" s="146"/>
      <c r="AK6" s="146"/>
      <c r="AL6" s="146"/>
      <c r="AM6" s="146"/>
      <c r="AN6" s="146"/>
      <c r="AO6" s="146"/>
      <c r="AP6" s="146"/>
    </row>
    <row r="7" spans="1:42" ht="11.25" customHeight="1">
      <c r="A7" s="27"/>
      <c r="B7" s="31"/>
      <c r="C7" s="32"/>
      <c r="D7" s="27"/>
      <c r="E7" s="27"/>
      <c r="F7" s="28"/>
      <c r="G7" s="27"/>
      <c r="H7" s="27"/>
      <c r="I7" s="27"/>
      <c r="J7" s="27"/>
      <c r="K7" s="27"/>
      <c r="L7" s="27"/>
      <c r="M7" s="27"/>
      <c r="N7" s="27"/>
      <c r="O7" s="27"/>
      <c r="P7" s="27"/>
      <c r="Q7" s="27"/>
      <c r="R7" s="27"/>
      <c r="S7" s="27"/>
      <c r="T7" s="27"/>
      <c r="U7" s="27"/>
      <c r="V7" s="27"/>
      <c r="W7" s="27"/>
      <c r="X7" s="27"/>
      <c r="Y7" s="27"/>
      <c r="Z7" s="146"/>
      <c r="AA7" s="146"/>
      <c r="AB7" s="146"/>
      <c r="AC7" s="146"/>
      <c r="AD7" s="146"/>
      <c r="AE7" s="146"/>
      <c r="AF7" s="146"/>
      <c r="AG7" s="146"/>
      <c r="AH7" s="146"/>
      <c r="AI7" s="146"/>
      <c r="AJ7" s="146"/>
      <c r="AK7" s="146"/>
      <c r="AL7" s="146"/>
      <c r="AM7" s="146"/>
      <c r="AN7" s="146"/>
      <c r="AO7" s="146"/>
      <c r="AP7" s="146"/>
    </row>
    <row r="8" spans="1:42" ht="12.75">
      <c r="A8" s="27"/>
      <c r="B8" s="129" t="str">
        <f>IF('My order'!H2="English","Men's tops by size and type","Hauts Homme par taille et type")</f>
        <v>Men's tops by size and type</v>
      </c>
      <c r="C8" s="129"/>
      <c r="D8" s="129"/>
      <c r="E8" s="129"/>
      <c r="F8" s="129"/>
      <c r="G8" s="129"/>
      <c r="H8" s="129"/>
      <c r="I8" s="129"/>
      <c r="J8" s="34"/>
      <c r="K8" s="129" t="str">
        <f>IF('My order'!H2="English","Women's tops by size and type","Hauts Femme par taille et type")</f>
        <v>Women's tops by size and type</v>
      </c>
      <c r="L8" s="129"/>
      <c r="M8" s="129"/>
      <c r="N8" s="129"/>
      <c r="O8" s="129"/>
      <c r="P8" s="129"/>
      <c r="Q8" s="129"/>
      <c r="R8" s="27"/>
      <c r="S8" s="147" t="str">
        <f>IF('My order'!H2="English","Kid's products by size and type","Produits Enfant par taille et type")</f>
        <v>Kid's products by size and type</v>
      </c>
      <c r="T8" s="147"/>
      <c r="U8" s="147"/>
      <c r="V8" s="147"/>
      <c r="W8" s="27"/>
      <c r="X8" s="27"/>
      <c r="Y8" s="27"/>
      <c r="Z8" s="146"/>
      <c r="AA8" s="146"/>
      <c r="AB8" s="146"/>
      <c r="AC8" s="146"/>
      <c r="AD8" s="146"/>
      <c r="AE8" s="146"/>
      <c r="AF8" s="146"/>
      <c r="AG8" s="146"/>
      <c r="AH8" s="146"/>
      <c r="AI8" s="146"/>
      <c r="AJ8" s="146"/>
      <c r="AK8" s="146"/>
      <c r="AL8" s="146"/>
      <c r="AM8" s="146"/>
      <c r="AN8" s="146"/>
      <c r="AO8" s="146"/>
      <c r="AP8" s="146"/>
    </row>
    <row r="9" spans="1:42" ht="12.75">
      <c r="A9" s="27"/>
      <c r="B9" s="134" t="str">
        <f>IF('My order'!H2="English","Product","Produit")</f>
        <v>Product</v>
      </c>
      <c r="C9" s="135" t="str">
        <f>IF('My order'!H2="English","Quantity","Quantité")</f>
        <v>Quantity</v>
      </c>
      <c r="D9" s="135"/>
      <c r="E9" s="135"/>
      <c r="F9" s="135"/>
      <c r="G9" s="135"/>
      <c r="H9" s="135"/>
      <c r="I9" s="135"/>
      <c r="J9" s="37"/>
      <c r="K9" s="134" t="str">
        <f>IF('My order'!H2="English","Product","Produit")</f>
        <v>Product</v>
      </c>
      <c r="L9" s="35"/>
      <c r="M9" s="135" t="str">
        <f>IF('My order'!H2="English","Quantity","Quantité")</f>
        <v>Quantity</v>
      </c>
      <c r="N9" s="135"/>
      <c r="O9" s="135"/>
      <c r="P9" s="135"/>
      <c r="Q9" s="135"/>
      <c r="R9" s="27"/>
      <c r="S9" s="134" t="str">
        <f>IF('My order'!H2="English","Product","Produit")</f>
        <v>Product</v>
      </c>
      <c r="T9" s="135" t="str">
        <f>IF('My order'!H2="English","Quantity","Quantité")</f>
        <v>Quantity</v>
      </c>
      <c r="U9" s="135"/>
      <c r="V9" s="135"/>
      <c r="W9" s="27"/>
      <c r="X9" s="27"/>
      <c r="Y9" s="27"/>
      <c r="Z9" s="146"/>
      <c r="AA9" s="146"/>
      <c r="AB9" s="146"/>
      <c r="AC9" s="146"/>
      <c r="AD9" s="146"/>
      <c r="AE9" s="146"/>
      <c r="AF9" s="146"/>
      <c r="AG9" s="146"/>
      <c r="AH9" s="146"/>
      <c r="AI9" s="146"/>
      <c r="AJ9" s="146"/>
      <c r="AK9" s="146"/>
      <c r="AL9" s="146"/>
      <c r="AM9" s="146"/>
      <c r="AN9" s="146"/>
      <c r="AO9" s="146"/>
      <c r="AP9" s="146"/>
    </row>
    <row r="10" spans="1:42" ht="12.75">
      <c r="A10" s="27"/>
      <c r="B10" s="134"/>
      <c r="C10" s="38" t="s">
        <v>6</v>
      </c>
      <c r="D10" s="38" t="s">
        <v>7</v>
      </c>
      <c r="E10" s="38" t="s">
        <v>8</v>
      </c>
      <c r="F10" s="38" t="s">
        <v>9</v>
      </c>
      <c r="G10" s="38" t="s">
        <v>10</v>
      </c>
      <c r="H10" s="38" t="s">
        <v>11</v>
      </c>
      <c r="I10" s="38" t="s">
        <v>12</v>
      </c>
      <c r="J10" s="39"/>
      <c r="K10" s="134"/>
      <c r="L10" s="35" t="s">
        <v>6</v>
      </c>
      <c r="M10" s="38" t="s">
        <v>7</v>
      </c>
      <c r="N10" s="38" t="s">
        <v>8</v>
      </c>
      <c r="O10" s="38" t="s">
        <v>9</v>
      </c>
      <c r="P10" s="38" t="s">
        <v>10</v>
      </c>
      <c r="Q10" s="38" t="s">
        <v>11</v>
      </c>
      <c r="R10" s="27"/>
      <c r="S10" s="134"/>
      <c r="T10" s="38" t="str">
        <f>IF('My order'!H2="English","6 yo","6 ans")</f>
        <v>6 yo</v>
      </c>
      <c r="U10" s="38" t="str">
        <f>IF('My order'!H2="English","8 yo","8 ans")</f>
        <v>8 yo</v>
      </c>
      <c r="V10" s="38" t="str">
        <f>IF('My order'!H2="English","10 yo","10 ans")</f>
        <v>10 yo</v>
      </c>
      <c r="W10" s="27"/>
      <c r="X10" s="27"/>
      <c r="Y10" s="27"/>
      <c r="Z10" s="146"/>
      <c r="AA10" s="146"/>
      <c r="AB10" s="146"/>
      <c r="AC10" s="146"/>
      <c r="AD10" s="146"/>
      <c r="AE10" s="146"/>
      <c r="AF10" s="146"/>
      <c r="AG10" s="146"/>
      <c r="AH10" s="146"/>
      <c r="AI10" s="146"/>
      <c r="AJ10" s="146"/>
      <c r="AK10" s="146"/>
      <c r="AL10" s="146"/>
      <c r="AM10" s="146"/>
      <c r="AN10" s="146"/>
      <c r="AO10" s="146"/>
      <c r="AP10" s="146"/>
    </row>
    <row r="11" spans="1:42" ht="12.75">
      <c r="A11" s="27"/>
      <c r="B11" s="44" t="s">
        <v>13</v>
      </c>
      <c r="C11" s="43"/>
      <c r="D11" s="41">
        <f>SUMPRODUCT(--('My order'!$B30:$B430="Argia"),--('My order'!$C30:$C430="Man"),--('My order'!$D30:$D430="S"))</f>
        <v>0</v>
      </c>
      <c r="E11" s="41">
        <f>SUMPRODUCT(--('My order'!$B30:$B430="Argia"),--('My order'!$C30:$C430="Man"),--('My order'!$D30:$D430="M"))</f>
        <v>0</v>
      </c>
      <c r="F11" s="41">
        <f>SUMPRODUCT(--('My order'!$B30:$B430="Argia"),--('My order'!$C30:$C430="Man"),--('My order'!$D30:$D430="L"))</f>
        <v>0</v>
      </c>
      <c r="G11" s="41">
        <f>SUMPRODUCT(--('My order'!$B30:$B430="Argia"),--('My order'!$C30:$C430="Man"),--('My order'!$D30:$D430="XL"))</f>
        <v>0</v>
      </c>
      <c r="H11" s="41">
        <f>SUMPRODUCT(--('My order'!$B30:$B430="Argia"),--('My order'!$C30:$C430="Man"),--('My order'!$D30:$D430="XXL"))</f>
        <v>0</v>
      </c>
      <c r="I11" s="43"/>
      <c r="J11" s="42"/>
      <c r="K11" s="44" t="s">
        <v>13</v>
      </c>
      <c r="L11" s="43"/>
      <c r="M11" s="41">
        <f>SUMPRODUCT(--('My order'!$B30:$B430="Argia"),--('My order'!$C30:$C430="Woman"),--('My order'!$D30:$D430="S"))</f>
        <v>0</v>
      </c>
      <c r="N11" s="41">
        <f>SUMPRODUCT(--('My order'!$B30:$B430="Argia"),--('My order'!$C30:$C430="Woman"),--('My order'!$D30:$D430="M"))</f>
        <v>0</v>
      </c>
      <c r="O11" s="41">
        <f>SUMPRODUCT(--('My order'!$B30:$B430="Argia"),--('My order'!$C30:$C430="Woman"),--('My order'!$D30:$D430="L"))</f>
        <v>0</v>
      </c>
      <c r="P11" s="41">
        <f>SUMPRODUCT(--('My order'!$B30:$B430="Argia"),--('My order'!$C30:$C430="Woman"),--('My order'!$D30:$D430="XL"))</f>
        <v>0</v>
      </c>
      <c r="Q11" s="43"/>
      <c r="R11" s="27"/>
      <c r="S11" s="44" t="s">
        <v>13</v>
      </c>
      <c r="T11" s="43"/>
      <c r="U11" s="43"/>
      <c r="V11" s="43"/>
      <c r="W11" s="27"/>
      <c r="X11" s="27"/>
      <c r="Y11" s="27"/>
      <c r="Z11" s="146"/>
      <c r="AA11" s="146"/>
      <c r="AB11" s="146"/>
      <c r="AC11" s="146"/>
      <c r="AD11" s="146"/>
      <c r="AE11" s="146"/>
      <c r="AF11" s="146"/>
      <c r="AG11" s="146"/>
      <c r="AH11" s="146"/>
      <c r="AI11" s="146"/>
      <c r="AJ11" s="146"/>
      <c r="AK11" s="146"/>
      <c r="AL11" s="146"/>
      <c r="AM11" s="146"/>
      <c r="AN11" s="146"/>
      <c r="AO11" s="146"/>
      <c r="AP11" s="146"/>
    </row>
    <row r="12" spans="1:42" ht="12.75">
      <c r="A12" s="27"/>
      <c r="B12" s="44" t="s">
        <v>14</v>
      </c>
      <c r="C12" s="41">
        <f>SUMPRODUCT(--('My order'!$B30:$B430="Azkar"),--('My order'!$C30:$C430="Man"),--('My order'!$D30:$D430="XS"))</f>
        <v>0</v>
      </c>
      <c r="D12" s="41">
        <f>SUMPRODUCT(--('My order'!$B30:$B430="Azkar"),--('My order'!$C30:$C430="Man"),--('My order'!$D30:$D430="S"))</f>
        <v>0</v>
      </c>
      <c r="E12" s="41">
        <f>SUMPRODUCT(--('My order'!$B30:$B430="Azkar"),--('My order'!$C30:$C430="Man"),--('My order'!$D30:$D430="M"))</f>
        <v>0</v>
      </c>
      <c r="F12" s="41">
        <f>SUMPRODUCT(--('My order'!$B30:$B430="Azkar"),--('My order'!$C30:$C430="Man"),--('My order'!$D30:$D430="L"))</f>
        <v>0</v>
      </c>
      <c r="G12" s="41">
        <f>SUMPRODUCT(--('My order'!$B30:$B430="Azkar"),--('My order'!$C30:$C430="Man"),--('My order'!$D30:$D430="XL"))</f>
        <v>0</v>
      </c>
      <c r="H12" s="41">
        <f>SUMPRODUCT(--('My order'!$B30:$B430="Azkar"),--('My order'!$C30:$C430="Man"),--('My order'!$D30:$D430="XXL"))</f>
        <v>0</v>
      </c>
      <c r="I12" s="41">
        <f>SUMPRODUCT(--('My order'!$B30:$B430="Azkar"),--('My order'!$C30:$C430="Man"),--('My order'!$D30:$D430="XXXL"))</f>
        <v>0</v>
      </c>
      <c r="J12" s="42"/>
      <c r="K12" s="44" t="s">
        <v>14</v>
      </c>
      <c r="L12" s="43"/>
      <c r="M12" s="41">
        <f>SUMPRODUCT(--('My order'!$B30:$B430="Azkar"),--('My order'!$C30:$C430="Woman"),--('My order'!$D30:$D430="S"))</f>
        <v>0</v>
      </c>
      <c r="N12" s="41">
        <f>SUMPRODUCT(--('My order'!$B30:$B430="Azkar"),--('My order'!$C30:$C430="Woman"),--('My order'!$D30:$D430="M"))</f>
        <v>0</v>
      </c>
      <c r="O12" s="41">
        <f>SUMPRODUCT(--('My order'!$B30:$B430="Azkar"),--('My order'!$C30:$C430="Woman"),--('My order'!$D30:$D430="L"))</f>
        <v>0</v>
      </c>
      <c r="P12" s="41">
        <f>SUMPRODUCT(--('My order'!$B30:$B430="Azkar"),--('My order'!$C30:$C430="Woman"),--('My order'!$D30:$D430="XL"))</f>
        <v>0</v>
      </c>
      <c r="Q12" s="41">
        <f>SUMPRODUCT(--('My order'!$B30:$B430="Azkar"),--('My order'!$C30:$C430="Woman"),--('My order'!$D30:$D430="XXL"))</f>
        <v>0</v>
      </c>
      <c r="R12" s="27"/>
      <c r="S12" s="44" t="s">
        <v>14</v>
      </c>
      <c r="T12" s="41">
        <f>SUMPRODUCT(--('My order'!$B30:$B430="Azkar"),--('My order'!$C30:$C430="Kid"),--('My order'!$D30:$D430=6))</f>
        <v>0</v>
      </c>
      <c r="U12" s="41">
        <f>SUMPRODUCT(--('My order'!$B30:$B430="Azkar"),--('My order'!$C30:$C430="Kid"),--('My order'!$D30:$D430=8))</f>
        <v>0</v>
      </c>
      <c r="V12" s="41">
        <f>SUMPRODUCT(--('My order'!$B30:$B430="Azkar"),--('My order'!$C30:$C430="Kid"),--('My order'!$D30:$D430=10))</f>
        <v>0</v>
      </c>
      <c r="W12" s="27"/>
      <c r="X12" s="27"/>
      <c r="Y12" s="27"/>
      <c r="Z12" s="146"/>
      <c r="AA12" s="146"/>
      <c r="AB12" s="146"/>
      <c r="AC12" s="146"/>
      <c r="AD12" s="146"/>
      <c r="AE12" s="146"/>
      <c r="AF12" s="146"/>
      <c r="AG12" s="146"/>
      <c r="AH12" s="146"/>
      <c r="AI12" s="146"/>
      <c r="AJ12" s="146"/>
      <c r="AK12" s="146"/>
      <c r="AL12" s="146"/>
      <c r="AM12" s="146"/>
      <c r="AN12" s="146"/>
      <c r="AO12" s="146"/>
      <c r="AP12" s="146"/>
    </row>
    <row r="13" spans="1:42" ht="12.75">
      <c r="A13" s="27"/>
      <c r="B13" s="44" t="s">
        <v>15</v>
      </c>
      <c r="C13" s="41">
        <f>SUMPRODUCT(--('My order'!$B30:$B430="Azkar_LongSleeves"),--('My order'!$C30:$C430="Man"),--('My order'!$D30:$D430="XS"))</f>
        <v>0</v>
      </c>
      <c r="D13" s="41">
        <f>SUMPRODUCT(--('My order'!$B30:$B430="Azkar_LongSleeves"),--('My order'!$C30:$C430="Man"),--('My order'!$D30:$D430="S"))</f>
        <v>0</v>
      </c>
      <c r="E13" s="41">
        <f>SUMPRODUCT(--('My order'!$B30:$B430="Azkar_LongSleeves"),--('My order'!$C30:$C430="Man"),--('My order'!$D30:$D430="M"))</f>
        <v>0</v>
      </c>
      <c r="F13" s="41">
        <f>SUMPRODUCT(--('My order'!$B30:$B430="Azkar_LongSleeves"),--('My order'!$C30:$C430="Man"),--('My order'!$D30:$D430="L"))</f>
        <v>0</v>
      </c>
      <c r="G13" s="41">
        <f>SUMPRODUCT(--('My order'!$B30:$B430="Azkar_LongSleeves"),--('My order'!$C30:$C430="Man"),--('My order'!$D30:$D430="XL"))</f>
        <v>0</v>
      </c>
      <c r="H13" s="41">
        <f>SUMPRODUCT(--('My order'!$B30:$B430="Azkar_LongSleeves"),--('My order'!$C30:$C430="Man"),--('My order'!$D30:$D430="XXL"))</f>
        <v>0</v>
      </c>
      <c r="I13" s="41">
        <f>SUMPRODUCT(--('My order'!$B30:$B430="Azkar_LongSleeves"),--('My order'!$C30:$C430="Man"),--('My order'!$D30:$D430="XXXL"))</f>
        <v>0</v>
      </c>
      <c r="J13" s="42"/>
      <c r="K13" s="44" t="s">
        <v>15</v>
      </c>
      <c r="L13" s="43"/>
      <c r="M13" s="41">
        <f>SUMPRODUCT(--('My order'!$B30:$B430="Azkar_LongSleeves"),--('My order'!$C30:$C430="Woman"),--('My order'!$D30:$D430="S"))</f>
        <v>0</v>
      </c>
      <c r="N13" s="41">
        <f>SUMPRODUCT(--('My order'!$B30:$B430="Azkar_LongSleeves"),--('My order'!$C30:$C430="Woman"),--('My order'!$D30:$D430="M"))</f>
        <v>0</v>
      </c>
      <c r="O13" s="41">
        <f>SUMPRODUCT(--('My order'!$B30:$B430="Azkar_LongSleeves"),--('My order'!$C30:$C430="Woman"),--('My order'!$D30:$D430="L"))</f>
        <v>0</v>
      </c>
      <c r="P13" s="41">
        <f>SUMPRODUCT(--('My order'!$B30:$B430="Azkar_LongSleeves"),--('My order'!$C30:$C430="Woman"),--('My order'!$D30:$D430="Xl"))</f>
        <v>0</v>
      </c>
      <c r="Q13" s="41">
        <f>SUMPRODUCT(--('My order'!$B30:$B430="Azkar_LongSleeves"),--('My order'!$C30:$C430="Woman"),--('My order'!$D30:$D430="XXL"))</f>
        <v>0</v>
      </c>
      <c r="R13" s="27"/>
      <c r="S13" s="44" t="s">
        <v>15</v>
      </c>
      <c r="T13" s="41">
        <f>SUMPRODUCT(--('My order'!$B30:$B430="Azkar_LongSleeves"),--('My order'!$C30:$C430="Kid"),--('My order'!$D30:$D430=6))</f>
        <v>0</v>
      </c>
      <c r="U13" s="41">
        <f>SUMPRODUCT(--('My order'!$B30:$B430="Azkar_LongSleeves"),--('My order'!$C30:$C430="Kid"),--('My order'!$D30:$D430=8))</f>
        <v>0</v>
      </c>
      <c r="V13" s="41">
        <f>SUMPRODUCT(--('My order'!$B30:$B430="Azkar_LongSleeves"),--('My order'!$C30:$C430="Kid"),--('My order'!$D30:$D430=10))</f>
        <v>0</v>
      </c>
      <c r="W13" s="27"/>
      <c r="X13" s="27"/>
      <c r="Y13" s="27"/>
      <c r="Z13" s="146"/>
      <c r="AA13" s="146"/>
      <c r="AB13" s="146"/>
      <c r="AC13" s="146"/>
      <c r="AD13" s="146"/>
      <c r="AE13" s="146"/>
      <c r="AF13" s="146"/>
      <c r="AG13" s="146"/>
      <c r="AH13" s="146"/>
      <c r="AI13" s="146"/>
      <c r="AJ13" s="146"/>
      <c r="AK13" s="146"/>
      <c r="AL13" s="146"/>
      <c r="AM13" s="146"/>
      <c r="AN13" s="146"/>
      <c r="AO13" s="146"/>
      <c r="AP13" s="146"/>
    </row>
    <row r="14" spans="1:42" ht="12.75">
      <c r="A14" s="27"/>
      <c r="B14" s="40" t="s">
        <v>364</v>
      </c>
      <c r="C14" s="41">
        <f>SUMPRODUCT(--('My order'!$B30:$B430="Azkar_SleeveLess"),--('My order'!$C30:$C430="Man"),--('My order'!$D30:$D430="XS"))</f>
        <v>0</v>
      </c>
      <c r="D14" s="41">
        <f>SUMPRODUCT(--('My order'!$B30:$B430="Azkar_SleeveLess"),--('My order'!$C30:$C430="Man"),--('My order'!$D30:$D430="S"))</f>
        <v>0</v>
      </c>
      <c r="E14" s="41">
        <f>SUMPRODUCT(--('My order'!$B30:$B430="Azkar_SleeveLess"),--('My order'!$C30:$C430="Man"),--('My order'!$D30:$D430="M"))</f>
        <v>0</v>
      </c>
      <c r="F14" s="41">
        <f>SUMPRODUCT(--('My order'!$B30:$B430="Azkar_SleeveLess"),--('My order'!$C30:$C430="Man"),--('My order'!$D30:$D430="L"))</f>
        <v>0</v>
      </c>
      <c r="G14" s="41">
        <f>SUMPRODUCT(--('My order'!$B30:$B430="Azkar_SleeveLess"),--('My order'!$C30:$C430="Man"),--('My order'!$D30:$D430="XL"))</f>
        <v>0</v>
      </c>
      <c r="H14" s="41">
        <f>SUMPRODUCT(--('My order'!$B30:$B430="Azkar_SleeveLess"),--('My order'!$C30:$C430="Man"),--('My order'!$D30:$D430="XXL"))</f>
        <v>0</v>
      </c>
      <c r="I14" s="41">
        <f>SUMPRODUCT(--('My order'!$B30:$B430="Azkar_SleeveLess"),--('My order'!$C30:$C430="Man"),--('My order'!$D30:$D430="XXXL"))</f>
        <v>0</v>
      </c>
      <c r="J14" s="42"/>
      <c r="K14" s="40" t="s">
        <v>364</v>
      </c>
      <c r="L14" s="43"/>
      <c r="M14" s="41">
        <f>SUMPRODUCT(--('My order'!$B30:$B430="Azkar_SleeveLess"),--('My order'!$C30:$C430="Woman"),--('My order'!$D30:$D430="S"))</f>
        <v>0</v>
      </c>
      <c r="N14" s="41">
        <f>SUMPRODUCT(--('My order'!$B30:$B430="Azkar_SleeveLess"),--('My order'!$C30:$C430="Woman"),--('My order'!$D30:$D430="M"))</f>
        <v>0</v>
      </c>
      <c r="O14" s="41">
        <f>SUMPRODUCT(--('My order'!$B30:$B430="Azkar_SleeveLess"),--('My order'!$C30:$C430="Woman"),--('My order'!$D30:$D430="L"))</f>
        <v>0</v>
      </c>
      <c r="P14" s="41">
        <f>SUMPRODUCT(--('My order'!$B30:$B430="Azkar_SleeveLess"),--('My order'!$C30:$C430="Woman"),--('My order'!$D30:$D430="XL"))</f>
        <v>0</v>
      </c>
      <c r="Q14" s="41">
        <f>SUMPRODUCT(--('My order'!$B30:$B430="Azkar_SleeveLess"),--('My order'!$C30:$C430="Woman"),--('My order'!$D30:$D430="XXL"))</f>
        <v>0</v>
      </c>
      <c r="R14" s="27"/>
      <c r="S14" s="40" t="s">
        <v>364</v>
      </c>
      <c r="T14" s="41">
        <f>SUMPRODUCT(--('My order'!$B30:$B430="Azkar_SleeveLess"),--('My order'!$C30:$C430="Kid"),--('My order'!$D30:$D430=6))</f>
        <v>0</v>
      </c>
      <c r="U14" s="41">
        <f>SUMPRODUCT(--('My order'!$B30:$B430="Azkar_SleeveLess"),--('My order'!$C30:$C430="Kid"),--('My order'!$D30:$D430=8))</f>
        <v>0</v>
      </c>
      <c r="V14" s="41">
        <f>SUMPRODUCT(--('My order'!$B30:$B430="Azkar_SleeveLess"),--('My order'!$C30:$C430="Kid"),--('My order'!$D30:$D430=10))</f>
        <v>0</v>
      </c>
      <c r="W14" s="27"/>
      <c r="X14" s="27"/>
      <c r="Y14" s="27"/>
      <c r="Z14" s="146"/>
      <c r="AA14" s="146"/>
      <c r="AB14" s="146"/>
      <c r="AC14" s="146"/>
      <c r="AD14" s="146"/>
      <c r="AE14" s="146"/>
      <c r="AF14" s="146"/>
      <c r="AG14" s="146"/>
      <c r="AH14" s="146"/>
      <c r="AI14" s="146"/>
      <c r="AJ14" s="146"/>
      <c r="AK14" s="146"/>
      <c r="AL14" s="146"/>
      <c r="AM14" s="146"/>
      <c r="AN14" s="146"/>
      <c r="AO14" s="146"/>
      <c r="AP14" s="146"/>
    </row>
    <row r="15" spans="1:42" ht="12.75">
      <c r="A15" s="27"/>
      <c r="B15" s="44" t="s">
        <v>16</v>
      </c>
      <c r="C15" s="41">
        <f>SUMPRODUCT(--('My order'!$B30:$B430="Casual_Tee"),--('My order'!$C30:$C430="Man"),--('My order'!$D30:$D430="XS"))</f>
        <v>0</v>
      </c>
      <c r="D15" s="41">
        <f>SUMPRODUCT(--('My order'!$B30:$B430="Casual_Tee"),--('My order'!$C30:$C430="Man"),--('My order'!$D30:$D430="S"))</f>
        <v>0</v>
      </c>
      <c r="E15" s="41">
        <f>SUMPRODUCT(--('My order'!$B30:$B430="Casual_Tee"),--('My order'!$C30:$C430="Man"),--('My order'!$D30:$D430="M"))</f>
        <v>0</v>
      </c>
      <c r="F15" s="41">
        <f>SUMPRODUCT(--('My order'!$B30:$B430="Casual_Tee"),--('My order'!$C30:$C430="Man"),--('My order'!$D30:$D430="L"))</f>
        <v>0</v>
      </c>
      <c r="G15" s="41">
        <f>SUMPRODUCT(--('My order'!$B30:$B430="Casual_Tee"),--('My order'!$C30:$C430="Man"),--('My order'!$D30:$D430="XL"))</f>
        <v>0</v>
      </c>
      <c r="H15" s="41">
        <f>SUMPRODUCT(--('My order'!$B30:$B430="Casual_Tee"),--('My order'!$C30:$C430="Man"),--('My order'!$D30:$D430="XXL"))</f>
        <v>0</v>
      </c>
      <c r="I15" s="41">
        <f>SUMPRODUCT(--('My order'!$B30:$B430="Casual_Tee"),--('My order'!$C30:$C430="Man"),--('My order'!$D30:$D430="XXXL"))</f>
        <v>0</v>
      </c>
      <c r="J15" s="42"/>
      <c r="K15" s="44" t="s">
        <v>16</v>
      </c>
      <c r="L15" s="43"/>
      <c r="M15" s="41">
        <f>SUMPRODUCT(--('My order'!$B30:$B430="Casual_Tee"),--('My order'!$C30:$C430="Woman"),--('My order'!$D30:$D430="S"))</f>
        <v>0</v>
      </c>
      <c r="N15" s="41">
        <f>SUMPRODUCT(--('My order'!$B30:$B430="Casual_Tee"),--('My order'!$C30:$C430="Woman"),--('My order'!$D30:$D430="M"))</f>
        <v>0</v>
      </c>
      <c r="O15" s="41">
        <f>SUMPRODUCT(--('My order'!$B30:$B430="Casual_Tee"),--('My order'!$C30:$C430="Woman"),--('My order'!$D30:$D430="L"))</f>
        <v>0</v>
      </c>
      <c r="P15" s="41">
        <f>SUMPRODUCT(--('My order'!$B30:$B430="Casual_Tee"),--('My order'!$C30:$C430="Woman"),--('My order'!$D30:$D430="XL"))</f>
        <v>0</v>
      </c>
      <c r="Q15" s="41">
        <f>SUMPRODUCT(--('My order'!$B30:$B430="Casual_Tee"),--('My order'!$C30:$C430="Woman"),--('My order'!$D30:$D430="XXL"))</f>
        <v>0</v>
      </c>
      <c r="R15" s="27"/>
      <c r="S15" s="44" t="s">
        <v>16</v>
      </c>
      <c r="T15" s="41">
        <f>SUMPRODUCT(--('My order'!$B30:$B430="Casual_Tee"),--('My order'!$C30:$C430="Kid"),--('My order'!$D30:$D430=6))</f>
        <v>0</v>
      </c>
      <c r="U15" s="41">
        <f>SUMPRODUCT(--('My order'!$B30:$B430="Casual_Tee"),--('My order'!$C30:$C430="Kid"),--('My order'!$D30:$D430=8))</f>
        <v>0</v>
      </c>
      <c r="V15" s="41">
        <f>SUMPRODUCT(--('My order'!$B30:$B430="Casual_Tee"),--('My order'!$C30:$C430="Kid"),--('My order'!$D30:$D430=10))</f>
        <v>0</v>
      </c>
      <c r="W15" s="27"/>
      <c r="X15" s="27"/>
      <c r="Y15" s="27"/>
      <c r="Z15" s="146"/>
      <c r="AA15" s="146"/>
      <c r="AB15" s="146"/>
      <c r="AC15" s="146"/>
      <c r="AD15" s="146"/>
      <c r="AE15" s="146"/>
      <c r="AF15" s="146"/>
      <c r="AG15" s="146"/>
      <c r="AH15" s="146"/>
      <c r="AI15" s="146"/>
      <c r="AJ15" s="146"/>
      <c r="AK15" s="146"/>
      <c r="AL15" s="146"/>
      <c r="AM15" s="146"/>
      <c r="AN15" s="146"/>
      <c r="AO15" s="146"/>
      <c r="AP15" s="146"/>
    </row>
    <row r="16" spans="1:42" ht="12.75">
      <c r="A16" s="27"/>
      <c r="B16" s="44" t="s">
        <v>358</v>
      </c>
      <c r="C16" s="41">
        <f>SUMPRODUCT(--('My order'!$B30:$B430="Casual_Tee_LongSleeves"),--('My order'!$C30:$C430="Man"),--('My order'!$D30:$D430="XS"))</f>
        <v>0</v>
      </c>
      <c r="D16" s="41">
        <f>SUMPRODUCT(--('My order'!$B30:$B430="Casual_Tee_LongSleeves"),--('My order'!$C30:$C430="Man"),--('My order'!$D30:$D430="S"))</f>
        <v>0</v>
      </c>
      <c r="E16" s="41">
        <f>SUMPRODUCT(--('My order'!$B30:$B430="Casual_Tee_LongSleeves"),--('My order'!$C30:$C430="Man"),--('My order'!$D30:$D430="M"))</f>
        <v>0</v>
      </c>
      <c r="F16" s="41">
        <f>SUMPRODUCT(--('My order'!$B30:$B430="Casual_Tee_LongSleeves"),--('My order'!$C30:$C430="Man"),--('My order'!$D30:$D430="L"))</f>
        <v>0</v>
      </c>
      <c r="G16" s="41">
        <f>SUMPRODUCT(--('My order'!$B30:$B430="Casual_Tee_LongSleeves"),--('My order'!$C30:$C430="Man"),--('My order'!$D30:$D430="XL"))</f>
        <v>0</v>
      </c>
      <c r="H16" s="41">
        <f>SUMPRODUCT(--('My order'!$B30:$B430="Casual_Tee_LongSleeves"),--('My order'!$C30:$C430="Man"),--('My order'!$D30:$D430="XXL"))</f>
        <v>0</v>
      </c>
      <c r="I16" s="41">
        <f>SUMPRODUCT(--('My order'!$B30:$B430="Casual_Tee_LongSleeves"),--('My order'!$C30:$C430="Man"),--('My order'!$D30:$D430="XXXL"))</f>
        <v>0</v>
      </c>
      <c r="J16" s="42"/>
      <c r="K16" s="44" t="s">
        <v>358</v>
      </c>
      <c r="L16" s="43"/>
      <c r="M16" s="41">
        <f>SUMPRODUCT(--('My order'!$B30:$B430="Casual_Tee_LongSleeves"),--('My order'!$C30:$C430="Woman"),--('My order'!$D30:$D430="S"))</f>
        <v>0</v>
      </c>
      <c r="N16" s="41">
        <f>SUMPRODUCT(--('My order'!$B30:$B430="Casual_Tee_LongSleeves"),--('My order'!$C30:$C430="Woman"),--('My order'!$D30:$D430="M"))</f>
        <v>0</v>
      </c>
      <c r="O16" s="41">
        <f>SUMPRODUCT(--('My order'!$B30:$B430="Casual_Tee_LongSleeves"),--('My order'!$C30:$C430="Woman"),--('My order'!$D30:$D430="L"))</f>
        <v>0</v>
      </c>
      <c r="P16" s="41">
        <f>SUMPRODUCT(--('My order'!$B30:$B430="Casual_Tee_LongSleeves"),--('My order'!$C30:$C430="Woman"),--('My order'!$D30:$D430="XL"))</f>
        <v>0</v>
      </c>
      <c r="Q16" s="41">
        <f>SUMPRODUCT(--('My order'!$B30:$B430="Casual_Tee_LongSleeves"),--('My order'!$C30:$C430="Woman"),--('My order'!$D30:$D430="XXL"))</f>
        <v>0</v>
      </c>
      <c r="R16" s="27"/>
      <c r="S16" s="44" t="s">
        <v>358</v>
      </c>
      <c r="T16" s="41">
        <f>SUMPRODUCT(--('My order'!$B30:$B430="Casual_Tee_LongSleeves"),--('My order'!$C30:$C430="Kid"),--('My order'!$D30:$D430=6))</f>
        <v>0</v>
      </c>
      <c r="U16" s="41">
        <f>SUMPRODUCT(--('My order'!$B30:$B430="Casual_Tee_LongSleeves"),--('My order'!$C30:$C430="Kid"),--('My order'!$D30:$D430=8))</f>
        <v>0</v>
      </c>
      <c r="V16" s="41">
        <f>SUMPRODUCT(--('My order'!$B30:$B430="Casual_Tee_LongSleeves"),--('My order'!$C30:$C430="Kid"),--('My order'!$D30:$D430=10))</f>
        <v>0</v>
      </c>
      <c r="W16" s="27"/>
      <c r="X16" s="27"/>
      <c r="Y16" s="27"/>
      <c r="Z16" s="146"/>
      <c r="AA16" s="146"/>
      <c r="AB16" s="146"/>
      <c r="AC16" s="146"/>
      <c r="AD16" s="146"/>
      <c r="AE16" s="146"/>
      <c r="AF16" s="146"/>
      <c r="AG16" s="146"/>
      <c r="AH16" s="146"/>
      <c r="AI16" s="146"/>
      <c r="AJ16" s="146"/>
      <c r="AK16" s="146"/>
      <c r="AL16" s="146"/>
      <c r="AM16" s="146"/>
      <c r="AN16" s="146"/>
      <c r="AO16" s="146"/>
      <c r="AP16" s="146"/>
    </row>
    <row r="17" spans="1:42" ht="12.75">
      <c r="A17" s="27"/>
      <c r="B17" s="44" t="s">
        <v>17</v>
      </c>
      <c r="C17" s="41">
        <f>SUMPRODUCT(--('My order'!$B30:$B430="Compression_Top"),--('My order'!$C30:$C430="Man"),--('My order'!$D30:$D430="XS"))</f>
        <v>0</v>
      </c>
      <c r="D17" s="41">
        <f>SUMPRODUCT(--('My order'!$B30:$B430="Compression_Top"),--('My order'!$C30:$C430="Man"),--('My order'!$D30:$D430="S"))</f>
        <v>0</v>
      </c>
      <c r="E17" s="41">
        <f>SUMPRODUCT(--('My order'!$B30:$B430="Compression_Top"),--('My order'!$C30:$C430="Man"),--('My order'!$D30:$D430="M"))</f>
        <v>0</v>
      </c>
      <c r="F17" s="41">
        <f>SUMPRODUCT(--('My order'!$B30:$B430="Compression_Top"),--('My order'!$C30:$C430="Man"),--('My order'!$D30:$D430="L"))</f>
        <v>0</v>
      </c>
      <c r="G17" s="41">
        <f>SUMPRODUCT(--('My order'!$B30:$B430="Compression_Top"),--('My order'!$C30:$C430="Man"),--('My order'!$D30:$D430="XL"))</f>
        <v>0</v>
      </c>
      <c r="H17" s="41">
        <f>SUMPRODUCT(--('My order'!$B30:$B430="Compression_Top"),--('My order'!$C30:$C430="Man"),--('My order'!$D30:$D430="XXL"))</f>
        <v>0</v>
      </c>
      <c r="I17" s="41">
        <f>SUMPRODUCT(--('My order'!$B30:$B430="Compression_Top"),--('My order'!$C30:$C430="Man"),--('My order'!$D30:$D430="XXXL"))</f>
        <v>0</v>
      </c>
      <c r="J17" s="42"/>
      <c r="K17" s="44" t="s">
        <v>17</v>
      </c>
      <c r="L17" s="43"/>
      <c r="M17" s="41">
        <f>SUMPRODUCT(--('My order'!$B30:$B430="Compression_Top"),--('My order'!$C30:$C430="Woman"),--('My order'!$D30:$D430="S"))</f>
        <v>0</v>
      </c>
      <c r="N17" s="41">
        <f>SUMPRODUCT(--('My order'!$B30:$B430="Compression_Top"),--('My order'!$C30:$C430="Woman"),--('My order'!$D30:$D430="M"))</f>
        <v>0</v>
      </c>
      <c r="O17" s="41">
        <f>SUMPRODUCT(--('My order'!$B30:$B430="Compression_Top"),--('My order'!$C30:$C430="Woman"),--('My order'!$D30:$D430="L"))</f>
        <v>0</v>
      </c>
      <c r="P17" s="41">
        <f>SUMPRODUCT(--('My order'!$B30:$B430="Compression_Top"),--('My order'!$C30:$C430="Woman"),--('My order'!$D30:$D430="XL"))</f>
        <v>0</v>
      </c>
      <c r="Q17" s="41">
        <f>SUMPRODUCT(--('My order'!$B30:$B430="Compression_Top"),--('My order'!$C30:$C430="Woman"),--('My order'!$D30:$D430="XXL"))</f>
        <v>0</v>
      </c>
      <c r="R17" s="27"/>
      <c r="S17" s="44" t="s">
        <v>17</v>
      </c>
      <c r="T17" s="41">
        <f>SUMPRODUCT(--('My order'!$B30:$B430="Compression_Top"),--('My order'!$C30:$C430="Kid"),--('My order'!$D30:$D430=6))</f>
        <v>0</v>
      </c>
      <c r="U17" s="41">
        <f>SUMPRODUCT(--('My order'!$B30:$B430="Compression_Top"),--('My order'!$C30:$C430="Kid"),--('My order'!$D30:$D430=8))</f>
        <v>0</v>
      </c>
      <c r="V17" s="41">
        <f>SUMPRODUCT(--('My order'!$B30:$B430="Compression_Top"),--('My order'!$C30:$C430="Kid"),--('My order'!$D30:$D430=10))</f>
        <v>0</v>
      </c>
      <c r="W17" s="27"/>
      <c r="X17" s="27"/>
      <c r="Y17" s="27"/>
      <c r="Z17" s="146"/>
      <c r="AA17" s="146"/>
      <c r="AB17" s="146"/>
      <c r="AC17" s="146"/>
      <c r="AD17" s="146"/>
      <c r="AE17" s="146"/>
      <c r="AF17" s="146"/>
      <c r="AG17" s="146"/>
      <c r="AH17" s="146"/>
      <c r="AI17" s="146"/>
      <c r="AJ17" s="146"/>
      <c r="AK17" s="146"/>
      <c r="AL17" s="146"/>
      <c r="AM17" s="146"/>
      <c r="AN17" s="146"/>
      <c r="AO17" s="146"/>
      <c r="AP17" s="146"/>
    </row>
    <row r="18" spans="1:42" ht="12.75">
      <c r="A18" s="27"/>
      <c r="B18" s="44" t="s">
        <v>18</v>
      </c>
      <c r="C18" s="41">
        <f>SUMPRODUCT(--('My order'!$B30:$B430="Compression_Top_LongSleeves"),--('My order'!$C30:$C430="Man"),--('My order'!$D30:$D430="XS"))</f>
        <v>0</v>
      </c>
      <c r="D18" s="41">
        <f>SUMPRODUCT(--('My order'!$B30:$B430="Compression_Top_LongSleeves"),--('My order'!$C30:$C430="Man"),--('My order'!$D30:$D430="S"))</f>
        <v>0</v>
      </c>
      <c r="E18" s="41">
        <f>SUMPRODUCT(--('My order'!$B30:$B430="Compression_Top_LongSleeves"),--('My order'!$C30:$C430="Man"),--('My order'!$D30:$D430="M"))</f>
        <v>0</v>
      </c>
      <c r="F18" s="41">
        <f>SUMPRODUCT(--('My order'!$B30:$B430="Compression_Top_LongSleeves"),--('My order'!$C30:$C430="Man"),--('My order'!$D30:$D430="L"))</f>
        <v>0</v>
      </c>
      <c r="G18" s="41">
        <f>SUMPRODUCT(--('My order'!$B30:$B430="Compression_Top_LongSleeves"),--('My order'!$C30:$C430="Man"),--('My order'!$D30:$D430="XL"))</f>
        <v>0</v>
      </c>
      <c r="H18" s="41">
        <f>SUMPRODUCT(--('My order'!$B30:$B430="Compression_Top_LongSleeves"),--('My order'!$C30:$C430="Man"),--('My order'!$D30:$D430="XXL"))</f>
        <v>0</v>
      </c>
      <c r="I18" s="41">
        <f>SUMPRODUCT(--('My order'!$B30:$B430="Compression_Top_LongSleeves"),--('My order'!$C30:$C430="Man"),--('My order'!$D30:$D430="XXXL"))</f>
        <v>0</v>
      </c>
      <c r="J18" s="42"/>
      <c r="K18" s="44" t="s">
        <v>18</v>
      </c>
      <c r="L18" s="43"/>
      <c r="M18" s="41">
        <f>SUMPRODUCT(--('My order'!$B30:$B430="Compression_Top_LongSleeves"),--('My order'!$C30:$C430="Woman"),--('My order'!$D30:$D430="S"))</f>
        <v>0</v>
      </c>
      <c r="N18" s="41">
        <f>SUMPRODUCT(--('My order'!$B30:$B430="Compression_Top_LongSleeves"),--('My order'!$C30:$C430="Woman"),--('My order'!$D30:$D430="M"))</f>
        <v>0</v>
      </c>
      <c r="O18" s="41">
        <f>SUMPRODUCT(--('My order'!$B30:$B430="Compression_Top_LongSleeves"),--('My order'!$C30:$C430="Woman"),--('My order'!$D30:$D430="L"))</f>
        <v>0</v>
      </c>
      <c r="P18" s="41">
        <f>SUMPRODUCT(--('My order'!$B30:$B430="Compression_Top_LongSleeves"),--('My order'!$C30:$C430="Woman"),--('My order'!$D30:$D430="XL"))</f>
        <v>0</v>
      </c>
      <c r="Q18" s="41">
        <f>SUMPRODUCT(--('My order'!$B30:$B430="Compression_Top_LongSleeves"),--('My order'!$C30:$C430="Woman"),--('My order'!$D30:$D430="XXL"))</f>
        <v>0</v>
      </c>
      <c r="R18" s="27"/>
      <c r="S18" s="44" t="s">
        <v>18</v>
      </c>
      <c r="T18" s="41">
        <f>SUMPRODUCT(--('My order'!$B30:$B430="Compression_Top_LongSleeves"),--('My order'!$C30:$C430="Kid"),--('My order'!$D30:$D430=6))</f>
        <v>0</v>
      </c>
      <c r="U18" s="41">
        <f>SUMPRODUCT(--('My order'!$B30:$B430="Compression_Top_LongSleeves"),--('My order'!$C30:$C430="Kid"),--('My order'!$D30:$D430=8))</f>
        <v>0</v>
      </c>
      <c r="V18" s="41">
        <f>SUMPRODUCT(--('My order'!$B30:$B430="Compression_Top_LongSleeves"),--('My order'!$C30:$C430="Kid"),--('My order'!$D30:$D430=10))</f>
        <v>0</v>
      </c>
      <c r="W18" s="27"/>
      <c r="X18" s="27"/>
      <c r="Y18" s="27"/>
      <c r="Z18" s="146"/>
      <c r="AA18" s="146"/>
      <c r="AB18" s="146"/>
      <c r="AC18" s="146"/>
      <c r="AD18" s="146"/>
      <c r="AE18" s="146"/>
      <c r="AF18" s="146"/>
      <c r="AG18" s="146"/>
      <c r="AH18" s="146"/>
      <c r="AI18" s="146"/>
      <c r="AJ18" s="146"/>
      <c r="AK18" s="146"/>
      <c r="AL18" s="146"/>
      <c r="AM18" s="146"/>
      <c r="AN18" s="146"/>
      <c r="AO18" s="146"/>
      <c r="AP18" s="146"/>
    </row>
    <row r="19" spans="1:42" ht="12.75">
      <c r="A19" s="27"/>
      <c r="B19" s="44" t="s">
        <v>19</v>
      </c>
      <c r="C19" s="41">
        <f>SUMPRODUCT(--('My order'!$B30:$B430="Dotoreak"),--('My order'!$C30:$C430="Man"),--('My order'!$D30:$D430="XS"))</f>
        <v>0</v>
      </c>
      <c r="D19" s="41">
        <f>SUMPRODUCT(--('My order'!$B30:$B430="Dotoreak"),--('My order'!$C30:$C430="Man"),--('My order'!$D30:$D430="S"))</f>
        <v>0</v>
      </c>
      <c r="E19" s="41">
        <f>SUMPRODUCT(--('My order'!$B30:$B430="Dotoreak"),--('My order'!$C30:$C430="Man"),--('My order'!$D30:$D430="M"))</f>
        <v>0</v>
      </c>
      <c r="F19" s="41">
        <f>SUMPRODUCT(--('My order'!$B30:$B430="Dotoreak"),--('My order'!$C30:$C430="Man"),--('My order'!$D30:$D430="L"))</f>
        <v>0</v>
      </c>
      <c r="G19" s="41">
        <f>SUMPRODUCT(--('My order'!$B30:$B430="Dotoreak"),--('My order'!$C30:$C430="Man"),--('My order'!$D30:$D430="XL"))</f>
        <v>0</v>
      </c>
      <c r="H19" s="41">
        <f>SUMPRODUCT(--('My order'!$B30:$B430="Dotoreak"),--('My order'!$C30:$C430="Man"),--('My order'!$D30:$D430="XXL"))</f>
        <v>0</v>
      </c>
      <c r="I19" s="41">
        <f>SUMPRODUCT(--('My order'!$B30:$B430="Dotoreak"),--('My order'!$C30:$C430="Man"),--('My order'!$D30:$D430="XXXL"))</f>
        <v>0</v>
      </c>
      <c r="J19" s="42"/>
      <c r="K19" s="44" t="s">
        <v>19</v>
      </c>
      <c r="L19" s="43"/>
      <c r="M19" s="41">
        <f>SUMPRODUCT(--('My order'!$B30:$B430="Dotoreak"),--('My order'!$C30:$C430="Woman"),--('My order'!$D30:$D430="S"))</f>
        <v>0</v>
      </c>
      <c r="N19" s="41">
        <f>SUMPRODUCT(--('My order'!$B30:$B430="Dotoreak"),--('My order'!$C30:$C430="Woman"),--('My order'!$D30:$D430="M"))</f>
        <v>0</v>
      </c>
      <c r="O19" s="41">
        <f>SUMPRODUCT(--('My order'!$B30:$B430="Dotoreak"),--('My order'!$C30:$C430="Woman"),--('My order'!$D30:$D430="L"))</f>
        <v>0</v>
      </c>
      <c r="P19" s="41">
        <f>SUMPRODUCT(--('My order'!$B30:$B430="Dotoreak"),--('My order'!$C30:$C430="Woman"),--('My order'!$D30:$D430="XL"))</f>
        <v>0</v>
      </c>
      <c r="Q19" s="41">
        <f>SUMPRODUCT(--('My order'!$B30:$B430="Dotoreak"),--('My order'!$C30:$C430="Woman"),--('My order'!$D30:$D430="XXL"))</f>
        <v>0</v>
      </c>
      <c r="R19" s="27"/>
      <c r="S19" s="44" t="s">
        <v>19</v>
      </c>
      <c r="T19" s="41">
        <f>SUMPRODUCT(--('My order'!$B30:$B430="Dotoreak"),--('My order'!$C30:$C430="Kid"),--('My order'!$D30:$D430=6))</f>
        <v>0</v>
      </c>
      <c r="U19" s="41">
        <f>SUMPRODUCT(--('My order'!$B30:$B430="Dotoreak"),--('My order'!$C30:$C430="Kid"),--('My order'!$D30:$D430=8))</f>
        <v>0</v>
      </c>
      <c r="V19" s="41">
        <f>SUMPRODUCT(--('My order'!$B30:$B430="Dotoreak"),--('My order'!$C30:$C430="Kid"),--('My order'!$D30:$D430=10))</f>
        <v>0</v>
      </c>
      <c r="W19" s="27"/>
      <c r="X19" s="27"/>
      <c r="Y19" s="27"/>
      <c r="Z19" s="146"/>
      <c r="AA19" s="146"/>
      <c r="AB19" s="146"/>
      <c r="AC19" s="146"/>
      <c r="AD19" s="146"/>
      <c r="AE19" s="146"/>
      <c r="AF19" s="146"/>
      <c r="AG19" s="146"/>
      <c r="AH19" s="146"/>
      <c r="AI19" s="146"/>
      <c r="AJ19" s="146"/>
      <c r="AK19" s="146"/>
      <c r="AL19" s="146"/>
      <c r="AM19" s="146"/>
      <c r="AN19" s="146"/>
      <c r="AO19" s="146"/>
      <c r="AP19" s="146"/>
    </row>
    <row r="20" spans="1:42" ht="12.75">
      <c r="A20" s="27"/>
      <c r="B20" s="44" t="s">
        <v>20</v>
      </c>
      <c r="C20" s="41">
        <f>SUMPRODUCT(--('My order'!$B30:$B430="Dotoreak_LongSleeves"),--('My order'!$C30:$C430="Man"),--('My order'!$D30:$D430="XS"))</f>
        <v>0</v>
      </c>
      <c r="D20" s="41">
        <f>SUMPRODUCT(--('My order'!$B30:$B430="Dotoreak_LongSleeves"),--('My order'!$C30:$C430="Man"),--('My order'!$D30:$D430="S"))</f>
        <v>0</v>
      </c>
      <c r="E20" s="41">
        <f>SUMPRODUCT(--('My order'!$B30:$B430="Dotoreak_LongSleeves"),--('My order'!$C30:$C430="Man"),--('My order'!$D30:$D430="M"))</f>
        <v>0</v>
      </c>
      <c r="F20" s="41">
        <f>SUMPRODUCT(--('My order'!$B30:$B430="Dotoreak_LongSleeves"),--('My order'!$C30:$C430="Man"),--('My order'!$D30:$D430="L"))</f>
        <v>0</v>
      </c>
      <c r="G20" s="41">
        <f>SUMPRODUCT(--('My order'!$B30:$B430="Dotoreak_LongSleeves"),--('My order'!$C30:$C430="Man"),--('My order'!$D30:$D430="XL"))</f>
        <v>0</v>
      </c>
      <c r="H20" s="41">
        <f>SUMPRODUCT(--('My order'!$B30:$B430="Dotoreak_LongSleeves"),--('My order'!$C30:$C430="Man"),--('My order'!$D30:$D430="XXL"))</f>
        <v>0</v>
      </c>
      <c r="I20" s="41">
        <f>SUMPRODUCT(--('My order'!$B30:$B430="Dotoreak_LongSleeves"),--('My order'!$C30:$C430="Man"),--('My order'!$D30:$D430="XXXL"))</f>
        <v>0</v>
      </c>
      <c r="J20" s="42"/>
      <c r="K20" s="44" t="s">
        <v>20</v>
      </c>
      <c r="L20" s="43"/>
      <c r="M20" s="41">
        <f>SUMPRODUCT(--('My order'!$B30:$B430="Dotoreak_LongSleeves"),--('My order'!$C30:$C430="Woman"),--('My order'!$D30:$D430="S"))</f>
        <v>0</v>
      </c>
      <c r="N20" s="41">
        <f>SUMPRODUCT(--('My order'!$B30:$B430="Dotoreak_LongSleeves"),--('My order'!$C30:$C430="Woman"),--('My order'!$D30:$D430="M"))</f>
        <v>0</v>
      </c>
      <c r="O20" s="41">
        <f>SUMPRODUCT(--('My order'!$B30:$B430="Dotoreak_LongSleeves"),--('My order'!$C30:$C430="Woman"),--('My order'!$D30:$D430="L"))</f>
        <v>0</v>
      </c>
      <c r="P20" s="41">
        <f>SUMPRODUCT(--('My order'!$B30:$B430="Dotoreak_LongSleeves"),--('My order'!$C30:$C430="Woman"),--('My order'!$D30:$D430="XL"))</f>
        <v>0</v>
      </c>
      <c r="Q20" s="41">
        <f>SUMPRODUCT(--('My order'!$B30:$B430="Dotoreak_LongSleeves"),--('My order'!$C30:$C430="Woman"),--('My order'!$D30:$D430="XXL"))</f>
        <v>0</v>
      </c>
      <c r="R20" s="27"/>
      <c r="S20" s="44" t="s">
        <v>20</v>
      </c>
      <c r="T20" s="41">
        <f>SUMPRODUCT(--('My order'!$B30:$B430="Dotoreak_LongSleeves"),--('My order'!$C30:$C430="Kid"),--('My order'!$D30:$D430=6))</f>
        <v>0</v>
      </c>
      <c r="U20" s="41">
        <f>SUMPRODUCT(--('My order'!$B30:$B430="Dotoreak_LongSleeves"),--('My order'!$C30:$C430="Kid"),--('My order'!$D30:$D430=8))</f>
        <v>0</v>
      </c>
      <c r="V20" s="41">
        <f>SUMPRODUCT(--('My order'!$B30:$B430="Dotoreak_LongSleeves"),--('My order'!$C30:$C430="Kid"),--('My order'!$D30:$D430=10))</f>
        <v>0</v>
      </c>
      <c r="W20" s="27"/>
      <c r="X20" s="27"/>
      <c r="Y20" s="27"/>
      <c r="Z20" s="146"/>
      <c r="AA20" s="146"/>
      <c r="AB20" s="146"/>
      <c r="AC20" s="146"/>
      <c r="AD20" s="146"/>
      <c r="AE20" s="146"/>
      <c r="AF20" s="146"/>
      <c r="AG20" s="146"/>
      <c r="AH20" s="146"/>
      <c r="AI20" s="146"/>
      <c r="AJ20" s="146"/>
      <c r="AK20" s="146"/>
      <c r="AL20" s="146"/>
      <c r="AM20" s="146"/>
      <c r="AN20" s="146"/>
      <c r="AO20" s="146"/>
      <c r="AP20" s="146"/>
    </row>
    <row r="21" spans="1:42" ht="12.75">
      <c r="A21" s="27"/>
      <c r="B21" s="44" t="s">
        <v>21</v>
      </c>
      <c r="C21" s="41">
        <f>SUMPRODUCT(--('My order'!$B30:$B430="Erritmo"),--('My order'!$C30:$C430="Man"),--('My order'!$D30:$D430="XS"))</f>
        <v>0</v>
      </c>
      <c r="D21" s="41">
        <f>SUMPRODUCT(--('My order'!$B30:$B430="Erritmo"),--('My order'!$C30:$C430="Man"),--('My order'!$D30:$D430="S"))</f>
        <v>0</v>
      </c>
      <c r="E21" s="41">
        <f>SUMPRODUCT(--('My order'!$B30:$B430="Erritmo"),--('My order'!$C30:$C430="Man"),--('My order'!$D30:$D430="M"))</f>
        <v>0</v>
      </c>
      <c r="F21" s="41">
        <f>SUMPRODUCT(--('My order'!$B30:$B430="Erritmo"),--('My order'!$C30:$C430="Man"),--('My order'!$D30:$D430="L"))</f>
        <v>0</v>
      </c>
      <c r="G21" s="41">
        <f>SUMPRODUCT(--('My order'!$B30:$B430="Erritmo"),--('My order'!$C30:$C430="Man"),--('My order'!$D30:$D430="XL"))</f>
        <v>0</v>
      </c>
      <c r="H21" s="41">
        <f>SUMPRODUCT(--('My order'!$B30:$B430="Erritmo"),--('My order'!$C30:$C430="Man"),--('My order'!$D30:$D430="XXL"))</f>
        <v>0</v>
      </c>
      <c r="I21" s="41">
        <f>SUMPRODUCT(--('My order'!$B30:$B430="Erritmo"),--('My order'!$C30:$C430="Man"),--('My order'!$D30:$D430="XXXL"))</f>
        <v>0</v>
      </c>
      <c r="J21" s="42"/>
      <c r="K21" s="44" t="s">
        <v>21</v>
      </c>
      <c r="L21" s="43"/>
      <c r="M21" s="41">
        <f>SUMPRODUCT(--('My order'!$B30:$B430="Erritmo"),--('My order'!$C30:$C430="Woman"),--('My order'!$D30:$D430="S"))</f>
        <v>0</v>
      </c>
      <c r="N21" s="41">
        <f>SUMPRODUCT(--('My order'!$B30:$B430="Erritmo"),--('My order'!$C30:$C430="Woman"),--('My order'!$D30:$D430="M"))</f>
        <v>0</v>
      </c>
      <c r="O21" s="41">
        <f>SUMPRODUCT(--('My order'!$B30:$B430="Erritmo"),--('My order'!$C30:$C430="Woman"),--('My order'!$D30:$D430="L"))</f>
        <v>0</v>
      </c>
      <c r="P21" s="41">
        <f>SUMPRODUCT(--('My order'!$B30:$B430="Erritmo"),--('My order'!$C30:$C430="Woman"),--('My order'!$D30:$D430="XL"))</f>
        <v>0</v>
      </c>
      <c r="Q21" s="41">
        <f>SUMPRODUCT(--('My order'!$B30:$B430="Erritmo"),--('My order'!$C30:$C430="Woman"),--('My order'!$D30:$D430="XXL"))</f>
        <v>0</v>
      </c>
      <c r="R21" s="27"/>
      <c r="S21" s="44" t="s">
        <v>21</v>
      </c>
      <c r="T21" s="41">
        <f>SUMPRODUCT(--('My order'!$B30:$B430="Erritmo"),--('My order'!$C30:$C430="Kid"),--('My order'!$D30:$D430=6))</f>
        <v>0</v>
      </c>
      <c r="U21" s="41">
        <f>SUMPRODUCT(--('My order'!$B30:$B430="Erritmo"),--('My order'!$C30:$C430="Kid"),--('My order'!$D30:$D430=8))</f>
        <v>0</v>
      </c>
      <c r="V21" s="41">
        <f>SUMPRODUCT(--('My order'!$B30:$B430="Erritmo"),--('My order'!$C30:$C430="Kid"),--('My order'!$D30:$D430=10))</f>
        <v>0</v>
      </c>
      <c r="W21" s="27"/>
      <c r="X21" s="27"/>
      <c r="Y21" s="27"/>
      <c r="Z21" s="146"/>
      <c r="AA21" s="146"/>
      <c r="AB21" s="146"/>
      <c r="AC21" s="146"/>
      <c r="AD21" s="146"/>
      <c r="AE21" s="146"/>
      <c r="AF21" s="146"/>
      <c r="AG21" s="146"/>
      <c r="AH21" s="146"/>
      <c r="AI21" s="146"/>
      <c r="AJ21" s="146"/>
      <c r="AK21" s="146"/>
      <c r="AL21" s="146"/>
      <c r="AM21" s="146"/>
      <c r="AN21" s="146"/>
      <c r="AO21" s="146"/>
      <c r="AP21" s="146"/>
    </row>
    <row r="22" spans="1:42" ht="12.75">
      <c r="A22" s="27"/>
      <c r="B22" s="9" t="s">
        <v>22</v>
      </c>
      <c r="C22" s="41">
        <f>SUMPRODUCT(--('My order'!$B30:$B430="Iribazi"),--('My order'!$C30:$C430="Man"),--('My order'!$D30:$D430="XS"))</f>
        <v>0</v>
      </c>
      <c r="D22" s="41">
        <f>SUMPRODUCT(--('My order'!$B30:$B430="Iribazi"),--('My order'!$C30:$C430="Man"),--('My order'!$D30:$D430="S"))</f>
        <v>0</v>
      </c>
      <c r="E22" s="41">
        <f>SUMPRODUCT(--('My order'!$B30:$B430="Iribazi"),--('My order'!$C30:$C430="Man"),--('My order'!$D30:$D430="M"))</f>
        <v>0</v>
      </c>
      <c r="F22" s="41">
        <f>SUMPRODUCT(--('My order'!$B30:$B430="Iribazi"),--('My order'!$C30:$C430="Man"),--('My order'!$D30:$D430="L"))</f>
        <v>0</v>
      </c>
      <c r="G22" s="41">
        <f>SUMPRODUCT(--('My order'!$B30:$B430="Iribazi"),--('My order'!$C30:$C430="Man"),--('My order'!$D30:$D430="XL"))</f>
        <v>0</v>
      </c>
      <c r="H22" s="41">
        <f>SUMPRODUCT(--('My order'!$B30:$B430="Iribazi"),--('My order'!$C30:$C430="Man"),--('My order'!$D30:$D430="XXL"))</f>
        <v>0</v>
      </c>
      <c r="I22" s="41">
        <f>SUMPRODUCT(--('My order'!$B30:$B430="Iribazi"),--('My order'!$C30:$C430="Man"),--('My order'!$D30:$D430="XXXL"))</f>
        <v>0</v>
      </c>
      <c r="J22" s="42"/>
      <c r="K22" s="9" t="s">
        <v>22</v>
      </c>
      <c r="L22" s="43"/>
      <c r="M22" s="41">
        <f>SUMPRODUCT(--('My order'!$B30:$B430="Iribazi"),--('My order'!$C30:$C430="Woman"),--('My order'!$D30:$D430="S"))</f>
        <v>0</v>
      </c>
      <c r="N22" s="41">
        <f>SUMPRODUCT(--('My order'!$B30:$B430="Iribazi"),--('My order'!$C30:$C430="Woman"),--('My order'!$D30:$D430="M"))</f>
        <v>0</v>
      </c>
      <c r="O22" s="41">
        <f>SUMPRODUCT(--('My order'!$B30:$B430="Iribazi"),--('My order'!$C30:$C430="Woman"),--('My order'!$D30:$D430="L"))</f>
        <v>0</v>
      </c>
      <c r="P22" s="41">
        <f>SUMPRODUCT(--('My order'!$B30:$B430="Iribazi"),--('My order'!$C30:$C430="Woman"),--('My order'!$D30:$D430="XL"))</f>
        <v>0</v>
      </c>
      <c r="Q22" s="41">
        <f>SUMPRODUCT(--('My order'!$B30:$B430="Iribazi"),--('My order'!$C30:$C430="Woman"),--('My order'!$D30:$D430="XXL"))</f>
        <v>0</v>
      </c>
      <c r="R22" s="27"/>
      <c r="S22" s="9" t="s">
        <v>22</v>
      </c>
      <c r="T22" s="41">
        <f>SUMPRODUCT(--('My order'!$B30:$B430="Iribazi"),--('My order'!$C30:$C430="Kid"),--('My order'!$D30:$D430=6))</f>
        <v>0</v>
      </c>
      <c r="U22" s="41">
        <f>SUMPRODUCT(--('My order'!$B30:$B430="Iribazi"),--('My order'!$C30:$C430="Kid"),--('My order'!$D30:$D430=8))</f>
        <v>0</v>
      </c>
      <c r="V22" s="41">
        <f>SUMPRODUCT(--('My order'!$B30:$B430="Iribazi"),--('My order'!$C30:$C430="Kid"),--('My order'!$D30:$D430=10))</f>
        <v>0</v>
      </c>
      <c r="W22" s="27"/>
      <c r="X22" s="27"/>
      <c r="Y22" s="27"/>
      <c r="Z22" s="146"/>
      <c r="AA22" s="146"/>
      <c r="AB22" s="146"/>
      <c r="AC22" s="146"/>
      <c r="AD22" s="146"/>
      <c r="AE22" s="146"/>
      <c r="AF22" s="146"/>
      <c r="AG22" s="146"/>
      <c r="AH22" s="146"/>
      <c r="AI22" s="146"/>
      <c r="AJ22" s="146"/>
      <c r="AK22" s="146"/>
      <c r="AL22" s="146"/>
      <c r="AM22" s="146"/>
      <c r="AN22" s="146"/>
      <c r="AO22" s="146"/>
      <c r="AP22" s="146"/>
    </row>
    <row r="23" spans="1:42" ht="12.75">
      <c r="A23" s="27"/>
      <c r="B23" s="44" t="s">
        <v>23</v>
      </c>
      <c r="C23" s="41">
        <f>SUMPRODUCT(--('My order'!$B30:$B430="Iribazi_LongSleeves"),--('My order'!$C30:$C430="Man"),--('My order'!$D30:$D430="XS"))</f>
        <v>0</v>
      </c>
      <c r="D23" s="41">
        <f>SUMPRODUCT(--('My order'!$B30:$B430="Iribazi_LongSleeves"),--('My order'!$C30:$C430="Man"),--('My order'!$D30:$D430="S"))</f>
        <v>0</v>
      </c>
      <c r="E23" s="41">
        <f>SUMPRODUCT(--('My order'!$B30:$B430="Iribazi_LongSleeves"),--('My order'!$C30:$C430="Man"),--('My order'!$D30:$D430="M"))</f>
        <v>0</v>
      </c>
      <c r="F23" s="41">
        <f>SUMPRODUCT(--('My order'!$B30:$B430="Iribazi_LongSleeves"),--('My order'!$C30:$C430="Man"),--('My order'!$D30:$D430="L"))</f>
        <v>0</v>
      </c>
      <c r="G23" s="41">
        <f>SUMPRODUCT(--('My order'!$B30:$B430="Iribazi_LongSleeves"),--('My order'!$C30:$C430="Man"),--('My order'!$D30:$D430="XL"))</f>
        <v>0</v>
      </c>
      <c r="H23" s="41">
        <f>SUMPRODUCT(--('My order'!$B30:$B430="Iribazi_LongSleeves"),--('My order'!$C30:$C430="Man"),--('My order'!$D30:$D430="XXL"))</f>
        <v>0</v>
      </c>
      <c r="I23" s="41">
        <f>SUMPRODUCT(--('My order'!$B30:$B430="Iribazi_LongSleeves"),--('My order'!$C30:$C430="Man"),--('My order'!$D30:$D430="XXXL"))</f>
        <v>0</v>
      </c>
      <c r="J23" s="42"/>
      <c r="K23" s="44" t="s">
        <v>23</v>
      </c>
      <c r="L23" s="43"/>
      <c r="M23" s="41">
        <f>SUMPRODUCT(--('My order'!$B30:$B430="Iribazi_LongSleeves"),--('My order'!$C30:$C430="Woman"),--('My order'!$D30:$D430="S"))</f>
        <v>0</v>
      </c>
      <c r="N23" s="41">
        <f>SUMPRODUCT(--('My order'!$B30:$B430="Iribazi_LongSleeves"),--('My order'!$C30:$C430="Woman"),--('My order'!$D30:$D430="M"))</f>
        <v>0</v>
      </c>
      <c r="O23" s="41">
        <f>SUMPRODUCT(--('My order'!$B30:$B430="Iribazi_LongSleeves"),--('My order'!$C30:$C430="Woman"),--('My order'!$D30:$D430="L"))</f>
        <v>0</v>
      </c>
      <c r="P23" s="41">
        <f>SUMPRODUCT(--('My order'!$B30:$B430="Iribazi_LongSleeves"),--('My order'!$C30:$C430="Woman"),--('My order'!$D30:$D430="XL"))</f>
        <v>0</v>
      </c>
      <c r="Q23" s="41">
        <f>SUMPRODUCT(--('My order'!$B30:$B430="Iribazi_LongSleeves"),--('My order'!$C30:$C430="Woman"),--('My order'!$D30:$D430="XXL"))</f>
        <v>0</v>
      </c>
      <c r="R23" s="27"/>
      <c r="S23" s="44" t="s">
        <v>23</v>
      </c>
      <c r="T23" s="41">
        <f>SUMPRODUCT(--('My order'!$B30:$B430="Iribazi_LongSleeves"),--('My order'!$C30:$C430="Kid"),--('My order'!$D30:$D430=6))</f>
        <v>0</v>
      </c>
      <c r="U23" s="41">
        <f>SUMPRODUCT(--('My order'!$B30:$B430="Iribazi_LongSleeves"),--('My order'!$C30:$C430="Kid"),--('My order'!$D30:$D430=8))</f>
        <v>0</v>
      </c>
      <c r="V23" s="41">
        <f>SUMPRODUCT(--('My order'!$B30:$B430="Iribazi_LongSleeves"),--('My order'!$C30:$C430="Kid"),--('My order'!$D30:$D430=10))</f>
        <v>0</v>
      </c>
      <c r="W23" s="27"/>
      <c r="X23" s="27"/>
      <c r="Y23" s="27"/>
      <c r="Z23" s="146"/>
      <c r="AA23" s="146"/>
      <c r="AB23" s="146"/>
      <c r="AC23" s="146"/>
      <c r="AD23" s="146"/>
      <c r="AE23" s="146"/>
      <c r="AF23" s="146"/>
      <c r="AG23" s="146"/>
      <c r="AH23" s="146"/>
      <c r="AI23" s="146"/>
      <c r="AJ23" s="146"/>
      <c r="AK23" s="146"/>
      <c r="AL23" s="146"/>
      <c r="AM23" s="146"/>
      <c r="AN23" s="146"/>
      <c r="AO23" s="146"/>
      <c r="AP23" s="146"/>
    </row>
    <row r="24" spans="1:42" ht="12.75">
      <c r="A24" s="27"/>
      <c r="B24" s="9" t="s">
        <v>24</v>
      </c>
      <c r="C24" s="43"/>
      <c r="D24" s="41">
        <f>SUMPRODUCT(--('My order'!$B30:$B430="Jaketa"),--('My order'!$C30:$C430="Man"),--('My order'!$D30:$D430="S"))</f>
        <v>0</v>
      </c>
      <c r="E24" s="41">
        <f>SUMPRODUCT(--('My order'!$B30:$B430="Jaketa"),--('My order'!$C30:$C430="Man"),--('My order'!$D30:$D430="M"))</f>
        <v>0</v>
      </c>
      <c r="F24" s="41">
        <f>SUMPRODUCT(--('My order'!$B30:$B430="Jaketa"),--('My order'!$C30:$C430="Man"),--('My order'!$D30:$D430="L"))</f>
        <v>0</v>
      </c>
      <c r="G24" s="41">
        <f>SUMPRODUCT(--('My order'!$B30:$B430="Jaketa"),--('My order'!$C30:$C430="Man"),--('My order'!$D30:$D430="XL"))</f>
        <v>0</v>
      </c>
      <c r="H24" s="41">
        <f>SUMPRODUCT(--('My order'!$B30:$B430="Jaketa"),--('My order'!$C30:$C430="Man"),--('My order'!$D30:$D430="XXL"))</f>
        <v>0</v>
      </c>
      <c r="I24" s="43"/>
      <c r="J24" s="42"/>
      <c r="K24" s="9" t="s">
        <v>24</v>
      </c>
      <c r="L24" s="43"/>
      <c r="M24" s="41">
        <f>SUMPRODUCT(--('My order'!$B30:$B430="Jaketa"),--('My order'!$C30:$C430="Woman"),--('My order'!$D30:$D430="S"))</f>
        <v>0</v>
      </c>
      <c r="N24" s="41">
        <f>SUMPRODUCT(--('My order'!$B30:$B430="Jaketa"),--('My order'!$C30:$C430="Woman"),--('My order'!$D30:$D430="M"))</f>
        <v>0</v>
      </c>
      <c r="O24" s="41">
        <f>SUMPRODUCT(--('My order'!$B30:$B430="Jaketa"),--('My order'!$C30:$C430="Woman"),--('My order'!$D30:$D430="L"))</f>
        <v>0</v>
      </c>
      <c r="P24" s="41">
        <f>SUMPRODUCT(--('My order'!$B30:$B430="Jaketa"),--('My order'!$C30:$C430="Woman"),--('My order'!$D30:$D430="XL"))</f>
        <v>0</v>
      </c>
      <c r="Q24" s="43"/>
      <c r="R24" s="27"/>
      <c r="S24" s="9" t="s">
        <v>24</v>
      </c>
      <c r="T24" s="43"/>
      <c r="U24" s="43"/>
      <c r="V24" s="43"/>
      <c r="W24" s="27"/>
      <c r="X24" s="27"/>
      <c r="Y24" s="27"/>
      <c r="Z24" s="146"/>
      <c r="AA24" s="146"/>
      <c r="AB24" s="146"/>
      <c r="AC24" s="146"/>
      <c r="AD24" s="146"/>
      <c r="AE24" s="146"/>
      <c r="AF24" s="146"/>
      <c r="AG24" s="146"/>
      <c r="AH24" s="146"/>
      <c r="AI24" s="146"/>
      <c r="AJ24" s="146"/>
      <c r="AK24" s="146"/>
      <c r="AL24" s="146"/>
      <c r="AM24" s="146"/>
      <c r="AN24" s="146"/>
      <c r="AO24" s="146"/>
      <c r="AP24" s="146"/>
    </row>
    <row r="25" spans="1:42" ht="12.75">
      <c r="A25" s="27"/>
      <c r="B25" s="9" t="s">
        <v>25</v>
      </c>
      <c r="C25" s="41">
        <f>SUMPRODUCT(--('My order'!$B30:$B430="Jauzi"),--('My order'!$C30:$C430="Man"),--('My order'!$D30:$D430="XS"))</f>
        <v>0</v>
      </c>
      <c r="D25" s="41">
        <f>SUMPRODUCT(--('My order'!$B30:$B430="Jauzi"),--('My order'!$C30:$C430="Man"),--('My order'!$D30:$D430="S"))</f>
        <v>0</v>
      </c>
      <c r="E25" s="41">
        <f>SUMPRODUCT(--('My order'!$B30:$B430="Jauzi"),--('My order'!$C30:$C430="Man"),--('My order'!$D30:$D430="M"))</f>
        <v>0</v>
      </c>
      <c r="F25" s="41">
        <f>SUMPRODUCT(--('My order'!$B30:$B430="Jauzi"),--('My order'!$C30:$C430="Man"),--('My order'!$D30:$D430="L"))</f>
        <v>0</v>
      </c>
      <c r="G25" s="41">
        <f>SUMPRODUCT(--('My order'!$B30:$B430="Jauzi"),--('My order'!$C30:$C430="Man"),--('My order'!$D30:$D430="XL"))</f>
        <v>0</v>
      </c>
      <c r="H25" s="41">
        <f>SUMPRODUCT(--('My order'!$B30:$B430="Jauzi"),--('My order'!$C30:$C430="Man"),--('My order'!$D30:$D430="XXL"))</f>
        <v>0</v>
      </c>
      <c r="I25" s="41">
        <f>SUMPRODUCT(--('My order'!$B30:$B430="Jauzi"),--('My order'!$C30:$C430="Man"),--('My order'!$D30:$D430="XXXL"))</f>
        <v>0</v>
      </c>
      <c r="J25" s="42"/>
      <c r="K25" s="9" t="s">
        <v>25</v>
      </c>
      <c r="L25" s="43"/>
      <c r="M25" s="41">
        <f>SUMPRODUCT(--('My order'!$B30:$B430="Jauzi"),--('My order'!$C30:$C430="Woman"),--('My order'!$D30:$D430="S"))</f>
        <v>0</v>
      </c>
      <c r="N25" s="41">
        <f>SUMPRODUCT(--('My order'!$B30:$B430="Jauzi"),--('My order'!$C30:$C430="Woman"),--('My order'!$D30:$D430="M"))</f>
        <v>0</v>
      </c>
      <c r="O25" s="41">
        <f>SUMPRODUCT(--('My order'!$B30:$B430="Jauzi"),--('My order'!$C30:$C430="Woman"),--('My order'!$D30:$D430="L"))</f>
        <v>0</v>
      </c>
      <c r="P25" s="41">
        <f>SUMPRODUCT(--('My order'!$B30:$B430="Jauzi"),--('My order'!$C30:$C430="Woman"),--('My order'!$D30:$D430="XL"))</f>
        <v>0</v>
      </c>
      <c r="Q25" s="41">
        <f>SUMPRODUCT(--('My order'!$B30:$B430="Jauzi"),--('My order'!$C30:$C430="Woman"),--('My order'!$D30:$D430="XXL"))</f>
        <v>0</v>
      </c>
      <c r="R25" s="27"/>
      <c r="S25" s="9" t="s">
        <v>25</v>
      </c>
      <c r="T25" s="41">
        <f>SUMPRODUCT(--('My order'!$B30:$B430="Jauzi"),--('My order'!$C30:$C430="Kid"),--('My order'!$D30:$D430=6))</f>
        <v>0</v>
      </c>
      <c r="U25" s="41">
        <f>SUMPRODUCT(--('My order'!$B30:$B430="Jauzi"),--('My order'!$C30:$C430="Kid"),--('My order'!$D30:$D430=8))</f>
        <v>0</v>
      </c>
      <c r="V25" s="41">
        <f>SUMPRODUCT(--('My order'!$B30:$B430="Jauzi"),--('My order'!$C30:$C430="Kid"),--('My order'!$D30:$D430=10))</f>
        <v>0</v>
      </c>
      <c r="W25" s="27"/>
      <c r="X25" s="27"/>
      <c r="Y25" s="27"/>
      <c r="Z25" s="146"/>
      <c r="AA25" s="146"/>
      <c r="AB25" s="146"/>
      <c r="AC25" s="146"/>
      <c r="AD25" s="146"/>
      <c r="AE25" s="146"/>
      <c r="AF25" s="146"/>
      <c r="AG25" s="146"/>
      <c r="AH25" s="146"/>
      <c r="AI25" s="146"/>
      <c r="AJ25" s="146"/>
      <c r="AK25" s="146"/>
      <c r="AL25" s="146"/>
      <c r="AM25" s="146"/>
      <c r="AN25" s="146"/>
      <c r="AO25" s="146"/>
      <c r="AP25" s="146"/>
    </row>
    <row r="26" spans="1:42" ht="12.75">
      <c r="A26" s="27"/>
      <c r="B26" s="44" t="s">
        <v>26</v>
      </c>
      <c r="C26" s="43"/>
      <c r="D26" s="41">
        <f>SUMPRODUCT(--('My order'!$B30:$B430="Kanpaia"),--('My order'!$C30:$C430="Man"),--('My order'!$D30:$D430="S"))</f>
        <v>0</v>
      </c>
      <c r="E26" s="41">
        <f>SUMPRODUCT(--('My order'!$B30:$B430="Kanpaia"),--('My order'!$C30:$C430="Man"),--('My order'!$D30:$D430="M"))</f>
        <v>0</v>
      </c>
      <c r="F26" s="41">
        <f>SUMPRODUCT(--('My order'!$B30:$B430="Kanpaia"),--('My order'!$C30:$C430="Man"),--('My order'!$D30:$D430="L"))</f>
        <v>0</v>
      </c>
      <c r="G26" s="41">
        <f>SUMPRODUCT(--('My order'!$B30:$B430="Kanpaia"),--('My order'!$C30:$C430="Man"),--('My order'!$D30:$D430="XL"))</f>
        <v>0</v>
      </c>
      <c r="H26" s="41">
        <f>SUMPRODUCT(--('My order'!$B30:$B430="Kanpaia"),--('My order'!$C30:$C430="Man"),--('My order'!$D30:$D430="XXL"))</f>
        <v>0</v>
      </c>
      <c r="I26" s="43"/>
      <c r="J26" s="42"/>
      <c r="K26" s="44" t="s">
        <v>26</v>
      </c>
      <c r="L26" s="43"/>
      <c r="M26" s="41">
        <f>SUMPRODUCT(--('My order'!$B30:$B430="Kanpaia"),--('My order'!$C30:$C430="Woman"),--('My order'!$D30:$D430="S"))</f>
        <v>0</v>
      </c>
      <c r="N26" s="41">
        <f>SUMPRODUCT(--('My order'!$B30:$B430="Kanpaia"),--('My order'!$C30:$C430="Woman"),--('My order'!$D30:$D430="M"))</f>
        <v>0</v>
      </c>
      <c r="O26" s="41">
        <f>SUMPRODUCT(--('My order'!$B30:$B430="Kanpaia"),--('My order'!$C30:$C430="Woman"),--('My order'!$D30:$D430="L"))</f>
        <v>0</v>
      </c>
      <c r="P26" s="41">
        <f>SUMPRODUCT(--('My order'!$B30:$B430="Kanpaia"),--('My order'!$C30:$C430="Woman"),--('My order'!$D30:$D430="XL"))</f>
        <v>0</v>
      </c>
      <c r="Q26" s="43"/>
      <c r="R26" s="27"/>
      <c r="S26" s="44" t="s">
        <v>26</v>
      </c>
      <c r="T26" s="43"/>
      <c r="U26" s="43"/>
      <c r="V26" s="43"/>
      <c r="W26" s="27"/>
      <c r="X26" s="27"/>
      <c r="Y26" s="27"/>
      <c r="Z26" s="146"/>
      <c r="AA26" s="146"/>
      <c r="AB26" s="146"/>
      <c r="AC26" s="146"/>
      <c r="AD26" s="146"/>
      <c r="AE26" s="146"/>
      <c r="AF26" s="146"/>
      <c r="AG26" s="146"/>
      <c r="AH26" s="146"/>
      <c r="AI26" s="146"/>
      <c r="AJ26" s="146"/>
      <c r="AK26" s="146"/>
      <c r="AL26" s="146"/>
      <c r="AM26" s="146"/>
      <c r="AN26" s="146"/>
      <c r="AO26" s="146"/>
      <c r="AP26" s="146"/>
    </row>
    <row r="27" spans="1:42" ht="12.75">
      <c r="A27" s="27"/>
      <c r="B27" s="9" t="s">
        <v>27</v>
      </c>
      <c r="C27" s="41">
        <f>SUMPRODUCT(--('My order'!$B30:$B430="Korrika"),--('My order'!$C30:$C430="Man"),--('My order'!$D30:$D430="XS"))</f>
        <v>0</v>
      </c>
      <c r="D27" s="41">
        <f>SUMPRODUCT(--('My order'!$B30:$B430="Korrika"),--('My order'!$C30:$C430="Man"),--('My order'!$D30:$D430="S"))</f>
        <v>0</v>
      </c>
      <c r="E27" s="41">
        <f>SUMPRODUCT(--('My order'!$B30:$B430="Korrika"),--('My order'!$C30:$C430="Man"),--('My order'!$D30:$D430="M"))</f>
        <v>0</v>
      </c>
      <c r="F27" s="41">
        <f>SUMPRODUCT(--('My order'!$B30:$B430="Korrika"),--('My order'!$C30:$C430="Man"),--('My order'!$D30:$D430="L"))</f>
        <v>0</v>
      </c>
      <c r="G27" s="41">
        <f>SUMPRODUCT(--('My order'!$B30:$B430="Korrika"),--('My order'!$C30:$C430="Man"),--('My order'!$D30:$D430="XL"))</f>
        <v>0</v>
      </c>
      <c r="H27" s="41">
        <f>SUMPRODUCT(--('My order'!$B30:$B430="Korrika"),--('My order'!$C30:$C430="Man"),--('My order'!$D30:$D430="XXL"))</f>
        <v>0</v>
      </c>
      <c r="I27" s="41">
        <f>SUMPRODUCT(--('My order'!$B30:$B430="Korrika"),--('My order'!$C30:$C430="Man"),--('My order'!$D30:$D430="XXXL"))</f>
        <v>0</v>
      </c>
      <c r="J27" s="42"/>
      <c r="K27" s="9" t="s">
        <v>27</v>
      </c>
      <c r="L27" s="43"/>
      <c r="M27" s="41">
        <f>SUMPRODUCT(--('My order'!$B30:$B430="Korrika"),--('My order'!$C30:$C430="Woman"),--('My order'!$D30:$D430="S"))</f>
        <v>0</v>
      </c>
      <c r="N27" s="41">
        <f>SUMPRODUCT(--('My order'!$B30:$B430="Korrika"),--('My order'!$C30:$C430="Woman"),--('My order'!$D30:$D430="M"))</f>
        <v>0</v>
      </c>
      <c r="O27" s="41">
        <f>SUMPRODUCT(--('My order'!$B30:$B430="Korrika"),--('My order'!$C30:$C430="Woman"),--('My order'!$D30:$D430="L"))</f>
        <v>0</v>
      </c>
      <c r="P27" s="41">
        <f>SUMPRODUCT(--('My order'!$B30:$B430="Korrika"),--('My order'!$C30:$C430="Woman"),--('My order'!$D30:$D430="XL"))</f>
        <v>0</v>
      </c>
      <c r="Q27" s="41">
        <f>SUMPRODUCT(--('My order'!$B30:$B430="Korrika"),--('My order'!$C30:$C430="Woman"),--('My order'!$D30:$D430="XXL"))</f>
        <v>0</v>
      </c>
      <c r="R27" s="27"/>
      <c r="S27" s="9" t="s">
        <v>27</v>
      </c>
      <c r="T27" s="41">
        <f>SUMPRODUCT(--('My order'!$B30:$B430="Korrika"),--('My order'!$C30:$C430="Kid"),--('My order'!$D30:$D430=6))</f>
        <v>0</v>
      </c>
      <c r="U27" s="41">
        <f>SUMPRODUCT(--('My order'!$B30:$B430="Korrika"),--('My order'!$C30:$C430="Kid"),--('My order'!$D30:$D430=8))</f>
        <v>0</v>
      </c>
      <c r="V27" s="41">
        <f>SUMPRODUCT(--('My order'!$B30:$B430="Korrika"),--('My order'!$C30:$C430="Kid"),--('My order'!$D30:$D430=10))</f>
        <v>0</v>
      </c>
      <c r="W27" s="27"/>
      <c r="X27" s="27"/>
      <c r="Y27" s="27"/>
      <c r="Z27" s="146"/>
      <c r="AA27" s="146"/>
      <c r="AB27" s="146"/>
      <c r="AC27" s="146"/>
      <c r="AD27" s="146"/>
      <c r="AE27" s="146"/>
      <c r="AF27" s="146"/>
      <c r="AG27" s="146"/>
      <c r="AH27" s="146"/>
      <c r="AI27" s="146"/>
      <c r="AJ27" s="146"/>
      <c r="AK27" s="146"/>
      <c r="AL27" s="146"/>
      <c r="AM27" s="146"/>
      <c r="AN27" s="146"/>
      <c r="AO27" s="146"/>
      <c r="AP27" s="146"/>
    </row>
    <row r="28" spans="1:42" ht="12.75">
      <c r="A28" s="27"/>
      <c r="B28" s="9" t="s">
        <v>28</v>
      </c>
      <c r="C28" s="41">
        <f>SUMPRODUCT(--('My order'!$B30:$B430="Ohiko"),--('My order'!$C30:$C430="Man"),--('My order'!$D30:$D430="XS"))</f>
        <v>0</v>
      </c>
      <c r="D28" s="41">
        <f>SUMPRODUCT(--('My order'!$B30:$B430="Ohiko"),--('My order'!$C30:$C430="Man"),--('My order'!$D30:$D430="S"))</f>
        <v>0</v>
      </c>
      <c r="E28" s="41">
        <f>SUMPRODUCT(--('My order'!$B30:$B430="Ohiko"),--('My order'!$C30:$C430="Man"),--('My order'!$D30:$D430="M"))</f>
        <v>0</v>
      </c>
      <c r="F28" s="41">
        <f>SUMPRODUCT(--('My order'!$B30:$B430="Ohiko"),--('My order'!$C30:$C430="Man"),--('My order'!$D30:$D430="L"))</f>
        <v>0</v>
      </c>
      <c r="G28" s="41">
        <f>SUMPRODUCT(--('My order'!$B30:$B430="Ohiko"),--('My order'!$C30:$C430="Man"),--('My order'!$D30:$D430="XL"))</f>
        <v>0</v>
      </c>
      <c r="H28" s="41">
        <f>SUMPRODUCT(--('My order'!$B30:$B430="Ohiko"),--('My order'!$C30:$C430="Man"),--('My order'!$D30:$D430="XXL"))</f>
        <v>0</v>
      </c>
      <c r="I28" s="41">
        <f>SUMPRODUCT(--('My order'!$B30:$B430="Ohiko"),--('My order'!$C30:$C430="Man"),--('My order'!$D30:$D430="XXXL"))</f>
        <v>0</v>
      </c>
      <c r="J28" s="42"/>
      <c r="K28" s="9" t="s">
        <v>28</v>
      </c>
      <c r="L28" s="43"/>
      <c r="M28" s="41">
        <f>SUMPRODUCT(--('My order'!$B30:$B430="Ohiko"),--('My order'!$C30:$C430="Woman"),--('My order'!$D30:$D430="S"))</f>
        <v>0</v>
      </c>
      <c r="N28" s="41">
        <f>SUMPRODUCT(--('My order'!$B30:$B430="Ohiko"),--('My order'!$C30:$C430="Woman"),--('My order'!$D30:$D430="M"))</f>
        <v>0</v>
      </c>
      <c r="O28" s="41">
        <f>SUMPRODUCT(--('My order'!$B30:$B430="Ohiko"),--('My order'!$C30:$C430="Woman"),--('My order'!$D30:$D430="L"))</f>
        <v>0</v>
      </c>
      <c r="P28" s="41">
        <f>SUMPRODUCT(--('My order'!$B30:$B430="Ohiko"),--('My order'!$C30:$C430="Woman"),--('My order'!$D30:$D430="XL"))</f>
        <v>0</v>
      </c>
      <c r="Q28" s="41">
        <f>SUMPRODUCT(--('My order'!$B30:$B430="Ohiko"),--('My order'!$C30:$C430="Woman"),--('My order'!$D30:$D430="XXL"))</f>
        <v>0</v>
      </c>
      <c r="R28" s="27"/>
      <c r="S28" s="9" t="s">
        <v>28</v>
      </c>
      <c r="T28" s="41">
        <f>SUMPRODUCT(--('My order'!$B30:$B430="Ohiko"),--('My order'!$C30:$C430="Kid"),--('My order'!$D30:$D430=6))</f>
        <v>0</v>
      </c>
      <c r="U28" s="41">
        <f>SUMPRODUCT(--('My order'!$B30:$B430="Ohiko"),--('My order'!$C30:$C430="Kid"),--('My order'!$D30:$D430=8))</f>
        <v>0</v>
      </c>
      <c r="V28" s="41">
        <f>SUMPRODUCT(--('My order'!$B30:$B430="Ohiko"),--('My order'!$C30:$C430="Kid"),--('My order'!$D30:$D430=10))</f>
        <v>0</v>
      </c>
      <c r="W28" s="27"/>
      <c r="X28" s="27"/>
      <c r="Y28" s="27"/>
      <c r="Z28" s="146"/>
      <c r="AA28" s="146"/>
      <c r="AB28" s="146"/>
      <c r="AC28" s="146"/>
      <c r="AD28" s="146"/>
      <c r="AE28" s="146"/>
      <c r="AF28" s="146"/>
      <c r="AG28" s="146"/>
      <c r="AH28" s="146"/>
      <c r="AI28" s="146"/>
      <c r="AJ28" s="146"/>
      <c r="AK28" s="146"/>
      <c r="AL28" s="146"/>
      <c r="AM28" s="146"/>
      <c r="AN28" s="146"/>
      <c r="AO28" s="146"/>
      <c r="AP28" s="146"/>
    </row>
    <row r="29" spans="1:42" ht="12.75" customHeight="1">
      <c r="A29" s="27"/>
      <c r="B29" s="44" t="s">
        <v>29</v>
      </c>
      <c r="C29" s="41">
        <f>SUMPRODUCT(--('My order'!$B30:$B430="Ohiko_LongSleeves"),--('My order'!$C30:$C430="Man"),--('My order'!$D30:$D430="XS"))</f>
        <v>0</v>
      </c>
      <c r="D29" s="41">
        <f>SUMPRODUCT(--('My order'!$B30:$B430="Ohiko_LongSleeves"),--('My order'!$C30:$C430="Man"),--('My order'!$D30:$D430="S"))</f>
        <v>0</v>
      </c>
      <c r="E29" s="41">
        <f>SUMPRODUCT(--('My order'!$B30:$B430="Ohiko_LongSleeves"),--('My order'!$C30:$C430="Man"),--('My order'!$D30:$D430="M"))</f>
        <v>0</v>
      </c>
      <c r="F29" s="41">
        <f>SUMPRODUCT(--('My order'!$B30:$B430="Ohiko_LongSleeves"),--('My order'!$C30:$C430="Man"),--('My order'!$D30:$D430="L"))</f>
        <v>0</v>
      </c>
      <c r="G29" s="41">
        <f>SUMPRODUCT(--('My order'!$B30:$B430="Ohiko_LongSleeves"),--('My order'!$C30:$C430="Man"),--('My order'!$D30:$D430="XL"))</f>
        <v>0</v>
      </c>
      <c r="H29" s="41">
        <f>SUMPRODUCT(--('My order'!$B30:$B430="Ohiko_LongSleeves"),--('My order'!$C30:$C430="Man"),--('My order'!$D30:$D430="XXL"))</f>
        <v>0</v>
      </c>
      <c r="I29" s="41">
        <f>SUMPRODUCT(--('My order'!$B30:$B430="Ohiko_LongSleeves"),--('My order'!$C30:$C430="Man"),--('My order'!$D30:$D430="XXXL"))</f>
        <v>0</v>
      </c>
      <c r="J29" s="42"/>
      <c r="K29" s="44" t="s">
        <v>29</v>
      </c>
      <c r="L29" s="43"/>
      <c r="M29" s="41">
        <f>SUMPRODUCT(--('My order'!$B30:$B430="Ohiko_LongSleeves"),--('My order'!$C30:$C430="Woman"),--('My order'!$D30:$D430="S"))</f>
        <v>0</v>
      </c>
      <c r="N29" s="41">
        <f>SUMPRODUCT(--('My order'!$B30:$B430="Ohiko_LongSleeves"),--('My order'!$C30:$C430="Woman"),--('My order'!$D30:$D430="M"))</f>
        <v>0</v>
      </c>
      <c r="O29" s="41">
        <f>SUMPRODUCT(--('My order'!$B30:$B430="Ohiko_LongSleeves"),--('My order'!$C30:$C430="Woman"),--('My order'!$D30:$D430="L"))</f>
        <v>0</v>
      </c>
      <c r="P29" s="41">
        <f>SUMPRODUCT(--('My order'!$B30:$B430="Ohiko_LongSleeves"),--('My order'!$C30:$C430="Woman"),--('My order'!$D30:$D430="XL"))</f>
        <v>0</v>
      </c>
      <c r="Q29" s="41">
        <f>SUMPRODUCT(--('My order'!$B30:$B430="Ohiko_LongSleeves"),--('My order'!$C30:$C430="Woman"),--('My order'!$D30:$D430="XXL"))</f>
        <v>0</v>
      </c>
      <c r="R29" s="27"/>
      <c r="S29" s="44" t="s">
        <v>29</v>
      </c>
      <c r="T29" s="41">
        <f>SUMPRODUCT(--('My order'!$B30:$B430="Ohiko_LongSleeves"),--('My order'!$C30:$C430="Kid"),--('My order'!$D30:$D430=6))</f>
        <v>0</v>
      </c>
      <c r="U29" s="41">
        <f>SUMPRODUCT(--('My order'!$B30:$B430="Ohiko_LongSleeves"),--('My order'!$C30:$C430="Kid"),--('My order'!$D30:$D430=8))</f>
        <v>0</v>
      </c>
      <c r="V29" s="41">
        <f>SUMPRODUCT(--('My order'!$B30:$B430="Ohiko_LongSleeves"),--('My order'!$C30:$C430="Kid"),--('My order'!$D30:$D430=10))</f>
        <v>0</v>
      </c>
      <c r="W29" s="27"/>
      <c r="X29" s="27"/>
      <c r="Y29" s="27"/>
      <c r="Z29" s="146"/>
      <c r="AA29" s="146"/>
      <c r="AB29" s="146"/>
      <c r="AC29" s="146"/>
      <c r="AD29" s="146"/>
      <c r="AE29" s="146"/>
      <c r="AF29" s="146"/>
      <c r="AG29" s="146"/>
      <c r="AH29" s="146"/>
      <c r="AI29" s="146"/>
      <c r="AJ29" s="146"/>
      <c r="AK29" s="146"/>
      <c r="AL29" s="146"/>
      <c r="AM29" s="146"/>
      <c r="AN29" s="146"/>
      <c r="AO29" s="146"/>
      <c r="AP29" s="146"/>
    </row>
    <row r="30" spans="1:42" ht="12.75" customHeight="1">
      <c r="A30" s="27"/>
      <c r="B30" s="40" t="s">
        <v>365</v>
      </c>
      <c r="C30" s="41">
        <f>SUMPRODUCT(--('My order'!$B30:$B430="Ohiko_SleeveLess"),--('My order'!$C30:$C430="Man"),--('My order'!$D30:$D430="XS"))</f>
        <v>0</v>
      </c>
      <c r="D30" s="41">
        <f>SUMPRODUCT(--('My order'!$B30:$B430="Ohiko_SleeveLess"),--('My order'!$C30:$C430="Man"),--('My order'!$D30:$D430="S"))</f>
        <v>0</v>
      </c>
      <c r="E30" s="41">
        <f>SUMPRODUCT(--('My order'!$B30:$B430="Ohiko_SleeveLess"),--('My order'!$C30:$C430="Man"),--('My order'!$D30:$D430="M"))</f>
        <v>0</v>
      </c>
      <c r="F30" s="41">
        <f>SUMPRODUCT(--('My order'!$B30:$B430="Ohiko_SleeveLess"),--('My order'!$C30:$C430="Man"),--('My order'!$D30:$D430="L"))</f>
        <v>0</v>
      </c>
      <c r="G30" s="41">
        <f>SUMPRODUCT(--('My order'!$B30:$B430="Ohiko_SleeveLess"),--('My order'!$C30:$C430="Man"),--('My order'!$D30:$D430="XL"))</f>
        <v>0</v>
      </c>
      <c r="H30" s="41">
        <f>SUMPRODUCT(--('My order'!$B30:$B430="Ohiko_SleeveLess"),--('My order'!$C30:$C430="Man"),--('My order'!$D30:$D430="XXL"))</f>
        <v>0</v>
      </c>
      <c r="I30" s="41">
        <f>SUMPRODUCT(--('My order'!$B30:$B430="Ohiko_SleeveLess"),--('My order'!$C30:$C430="Man"),--('My order'!$D30:$D430="XXXL"))</f>
        <v>0</v>
      </c>
      <c r="J30" s="42"/>
      <c r="K30" s="40" t="s">
        <v>365</v>
      </c>
      <c r="L30" s="43"/>
      <c r="M30" s="41">
        <f>SUMPRODUCT(--('My order'!$B30:$B430="Ohiko_SleeveLess"),--('My order'!$C30:$C430="Woman"),--('My order'!$D30:$D430="S"))</f>
        <v>0</v>
      </c>
      <c r="N30" s="41">
        <f>SUMPRODUCT(--('My order'!$B30:$B430="Ohiko_SleeveLess"),--('My order'!$C30:$C430="Woman"),--('My order'!$D30:$D430="M"))</f>
        <v>0</v>
      </c>
      <c r="O30" s="41">
        <f>SUMPRODUCT(--('My order'!$B30:$B430="Ohiko_SleeveLess"),--('My order'!$C30:$C430="Woman"),--('My order'!$D30:$D430="L"))</f>
        <v>0</v>
      </c>
      <c r="P30" s="41">
        <f>SUMPRODUCT(--('My order'!$B30:$B430="Ohiko_SleeveLess"),--('My order'!$C30:$C430="Woman"),--('My order'!$D30:$D430="XL"))</f>
        <v>0</v>
      </c>
      <c r="Q30" s="41">
        <f>SUMPRODUCT(--('My order'!$B30:$B430="Ohiko_SleeveLess"),--('My order'!$C30:$C430="Woman"),--('My order'!$D30:$D430="XXL"))</f>
        <v>0</v>
      </c>
      <c r="R30" s="27"/>
      <c r="S30" s="40" t="s">
        <v>365</v>
      </c>
      <c r="T30" s="41">
        <f>SUMPRODUCT(--('My order'!$B30:$B430="Ohiko_SleeveLess"),--('My order'!$C30:$C430="Kid"),--('My order'!$D30:$D430=6))</f>
        <v>0</v>
      </c>
      <c r="U30" s="41">
        <f>SUMPRODUCT(--('My order'!$B30:$B430="Ohiko_SleeveLess"),--('My order'!$C30:$C430="Kid"),--('My order'!$D30:$D430=8))</f>
        <v>0</v>
      </c>
      <c r="V30" s="41">
        <f>SUMPRODUCT(--('My order'!$B30:$B430="Ohiko_SleeveLess"),--('My order'!$C30:$C430="Kid"),--('My order'!$D30:$D430=10))</f>
        <v>0</v>
      </c>
      <c r="W30" s="27"/>
      <c r="X30" s="27"/>
      <c r="Y30" s="27"/>
      <c r="Z30" s="146"/>
      <c r="AA30" s="146"/>
      <c r="AB30" s="146"/>
      <c r="AC30" s="146"/>
      <c r="AD30" s="146"/>
      <c r="AE30" s="146"/>
      <c r="AF30" s="146"/>
      <c r="AG30" s="146"/>
      <c r="AH30" s="146"/>
      <c r="AI30" s="146"/>
      <c r="AJ30" s="146"/>
      <c r="AK30" s="146"/>
      <c r="AL30" s="146"/>
      <c r="AM30" s="146"/>
      <c r="AN30" s="146"/>
      <c r="AO30" s="146"/>
      <c r="AP30" s="146"/>
    </row>
    <row r="31" spans="1:42" ht="12.75">
      <c r="A31" s="27"/>
      <c r="B31" s="9" t="s">
        <v>30</v>
      </c>
      <c r="C31" s="41">
        <f>SUMPRODUCT(--('My order'!$B30:$B430="Reversible"),--('My order'!$C30:$C430="Unisex"),--('My order'!$D30:$D430="XS"))</f>
        <v>0</v>
      </c>
      <c r="D31" s="41">
        <f>SUMPRODUCT(--('My order'!$B30:$B430="Reversible"),--('My order'!$C30:$C430="Unisex"),--('My order'!$D30:$D430="S"))</f>
        <v>0</v>
      </c>
      <c r="E31" s="41">
        <f>SUMPRODUCT(--('My order'!$B30:$B430="Reversible"),--('My order'!$C30:$C430="Unisex"),--('My order'!$D30:$D430="M"))</f>
        <v>0</v>
      </c>
      <c r="F31" s="41">
        <f>SUMPRODUCT(--('My order'!$B30:$B430="Reversible"),--('My order'!$C30:$C430="Unisex"),--('My order'!$D30:$D430="L"))</f>
        <v>0</v>
      </c>
      <c r="G31" s="41">
        <f>SUMPRODUCT(--('My order'!$B30:$B430="Reversible"),--('My order'!$C30:$C430="Unisex"),--('My order'!$D30:$D430="XL"))</f>
        <v>0</v>
      </c>
      <c r="H31" s="41">
        <f>SUMPRODUCT(--('My order'!$B30:$B430="Reversible"),--('My order'!$C30:$C430="Unisex"),--('My order'!$D30:$D430="XXL"))</f>
        <v>0</v>
      </c>
      <c r="I31" s="41">
        <f>SUMPRODUCT(--('My order'!$B30:$B430="Reversible"),--('My order'!$C30:$C430="Unisex"),--('My order'!$D30:$D430="XXXL"))</f>
        <v>0</v>
      </c>
      <c r="J31" s="42"/>
      <c r="K31" s="9" t="s">
        <v>30</v>
      </c>
      <c r="L31" s="136" t="s">
        <v>31</v>
      </c>
      <c r="M31" s="136"/>
      <c r="N31" s="136"/>
      <c r="O31" s="136"/>
      <c r="P31" s="136"/>
      <c r="Q31" s="136"/>
      <c r="R31" s="27"/>
      <c r="S31" s="9" t="s">
        <v>30</v>
      </c>
      <c r="T31" s="41">
        <f>SUMPRODUCT(--('My order'!$B30:$B430="Reversible"),--('My order'!$C30:$C430="Unisex"),--('My order'!$D30:$D430=6))</f>
        <v>0</v>
      </c>
      <c r="U31" s="41">
        <f>SUMPRODUCT(--('My order'!$B30:$B430="Reversible"),--('My order'!$C30:$C430="Unisex"),--('My order'!$D30:$D430=8))</f>
        <v>0</v>
      </c>
      <c r="V31" s="41">
        <f>SUMPRODUCT(--('My order'!$B30:$B430="Reversible"),--('My order'!$C30:$C430="Unisex"),--('My order'!$D30:$D430=10))</f>
        <v>0</v>
      </c>
      <c r="W31" s="27"/>
      <c r="X31" s="27"/>
      <c r="Y31" s="27"/>
      <c r="Z31" s="146"/>
      <c r="AA31" s="146"/>
      <c r="AB31" s="146"/>
      <c r="AC31" s="146"/>
      <c r="AD31" s="146"/>
      <c r="AE31" s="146"/>
      <c r="AF31" s="146"/>
      <c r="AG31" s="146"/>
      <c r="AH31" s="146"/>
      <c r="AI31" s="146"/>
      <c r="AJ31" s="146"/>
      <c r="AK31" s="146"/>
      <c r="AL31" s="146"/>
      <c r="AM31" s="146"/>
      <c r="AN31" s="146"/>
      <c r="AO31" s="146"/>
      <c r="AP31" s="146"/>
    </row>
    <row r="32" spans="1:42" ht="12.75">
      <c r="A32" s="27"/>
      <c r="B32" s="9" t="s">
        <v>32</v>
      </c>
      <c r="C32" s="41">
        <f>SUMPRODUCT(--('My order'!$B30:$B430="Tank"),--('My order'!$C30:$C430="Man"),--('My order'!$D30:$D430="XS"))</f>
        <v>0</v>
      </c>
      <c r="D32" s="41">
        <f>SUMPRODUCT(--('My order'!$B30:$B430="Tank"),--('My order'!$C30:$C430="Man"),--('My order'!$D30:$D430="S"))</f>
        <v>0</v>
      </c>
      <c r="E32" s="41">
        <f>SUMPRODUCT(--('My order'!$B30:$B430="Tank"),--('My order'!$C30:$C430="Man"),--('My order'!$D30:$D430="M"))</f>
        <v>0</v>
      </c>
      <c r="F32" s="41">
        <f>SUMPRODUCT(--('My order'!$B30:$B430="Tank"),--('My order'!$C30:$C430="Man"),--('My order'!$D30:$D430="L"))</f>
        <v>0</v>
      </c>
      <c r="G32" s="41">
        <f>SUMPRODUCT(--('My order'!$B30:$B430="Tank"),--('My order'!$C30:$C430="Man"),--('My order'!$D30:$D430="XL"))</f>
        <v>0</v>
      </c>
      <c r="H32" s="41">
        <f>SUMPRODUCT(--('My order'!$B30:$B430="Tank"),--('My order'!$C30:$C430="Man"),--('My order'!$D30:$D430="XXL"))</f>
        <v>0</v>
      </c>
      <c r="I32" s="41">
        <f>SUMPRODUCT(--('My order'!$B30:$B430="Tank"),--('My order'!$C30:$C430="Man"),--('My order'!$D30:$D430="XXXL"))</f>
        <v>0</v>
      </c>
      <c r="J32" s="42"/>
      <c r="K32" s="9" t="s">
        <v>32</v>
      </c>
      <c r="L32" s="43"/>
      <c r="M32" s="41">
        <f>SUMPRODUCT(--('My order'!$B30:$B430="Tank"),--('My order'!$C30:$C430="Woman"),--('My order'!$D30:$D430="S"))</f>
        <v>0</v>
      </c>
      <c r="N32" s="41">
        <f>SUMPRODUCT(--('My order'!$B30:$B430="Tank"),--('My order'!$C30:$C430="Woman"),--('My order'!$D30:$D430="M"))</f>
        <v>0</v>
      </c>
      <c r="O32" s="41">
        <f>SUMPRODUCT(--('My order'!$B30:$B430="Tank"),--('My order'!$C30:$C430="Woman"),--('My order'!$D30:$D430="L"))</f>
        <v>0</v>
      </c>
      <c r="P32" s="41">
        <f>SUMPRODUCT(--('My order'!$B30:$B430="Tank"),--('My order'!$C30:$C430="Woman"),--('My order'!$D30:$D430="XL"))</f>
        <v>0</v>
      </c>
      <c r="Q32" s="41">
        <f>SUMPRODUCT(--('My order'!$B30:$B430="Tank"),--('My order'!$C30:$C430="Woman"),--('My order'!$D30:$D430="XXL"))</f>
        <v>0</v>
      </c>
      <c r="R32" s="27"/>
      <c r="S32" s="9" t="s">
        <v>32</v>
      </c>
      <c r="T32" s="41">
        <f>SUMPRODUCT(--('My order'!$B30:$B430="Tank"),--('My order'!$C30:$C430="Kid"),--('My order'!$D30:$D430=6))</f>
        <v>0</v>
      </c>
      <c r="U32" s="41">
        <f>SUMPRODUCT(--('My order'!$B30:$B430="Tank"),--('My order'!$C30:$C430="Kid"),--('My order'!$D30:$D430=8))</f>
        <v>0</v>
      </c>
      <c r="V32" s="41">
        <f>SUMPRODUCT(--('My order'!$B30:$B430="Tank"),--('My order'!$C30:$C430="Kid"),--('My order'!$D30:$D430=10))</f>
        <v>0</v>
      </c>
      <c r="W32" s="27"/>
      <c r="X32" s="27"/>
      <c r="Y32" s="27"/>
      <c r="Z32" s="146"/>
      <c r="AA32" s="146"/>
      <c r="AB32" s="146"/>
      <c r="AC32" s="146"/>
      <c r="AD32" s="146"/>
      <c r="AE32" s="146"/>
      <c r="AF32" s="146"/>
      <c r="AG32" s="146"/>
      <c r="AH32" s="146"/>
      <c r="AI32" s="146"/>
      <c r="AJ32" s="146"/>
      <c r="AK32" s="146"/>
      <c r="AL32" s="146"/>
      <c r="AM32" s="146"/>
      <c r="AN32" s="146"/>
      <c r="AO32" s="146"/>
      <c r="AP32" s="146"/>
    </row>
    <row r="33" spans="1:42" ht="12.75">
      <c r="A33" s="27"/>
      <c r="B33" s="9" t="s">
        <v>33</v>
      </c>
      <c r="C33" s="41">
        <f>SUMPRODUCT(--('My order'!$B30:$B430="Volley"),--('My order'!$C30:$C430="Man"),--('My order'!$D30:$D430="XS"))</f>
        <v>0</v>
      </c>
      <c r="D33" s="41">
        <f>SUMPRODUCT(--('My order'!$B30:$B430="Volley"),--('My order'!$C30:$C430="Man"),--('My order'!$D30:$D430="S"))</f>
        <v>0</v>
      </c>
      <c r="E33" s="41">
        <f>SUMPRODUCT(--('My order'!$B30:$B430="Volley"),--('My order'!$C30:$C430="Man"),--('My order'!$D30:$D430="M"))</f>
        <v>0</v>
      </c>
      <c r="F33" s="41">
        <f>SUMPRODUCT(--('My order'!$B30:$B430="Volley"),--('My order'!$C30:$C430="Man"),--('My order'!$D30:$D430="L"))</f>
        <v>0</v>
      </c>
      <c r="G33" s="41">
        <f>SUMPRODUCT(--('My order'!$B30:$B430="Volley"),--('My order'!$C30:$C430="Man"),--('My order'!$D30:$D430="XL"))</f>
        <v>0</v>
      </c>
      <c r="H33" s="41">
        <f>SUMPRODUCT(--('My order'!$B30:$B430="Volley"),--('My order'!$C30:$C430="Man"),--('My order'!$D30:$D430="XXL"))</f>
        <v>0</v>
      </c>
      <c r="I33" s="45">
        <f>SUMPRODUCT(--('My order'!$B30:$B430="Volley"),--('My order'!$C30:$C430="Man"),--('My order'!$D30:$D430="XXXL"))</f>
        <v>0</v>
      </c>
      <c r="J33" s="42"/>
      <c r="K33" s="9" t="s">
        <v>33</v>
      </c>
      <c r="L33" s="43"/>
      <c r="M33" s="41">
        <f>SUMPRODUCT(--('My order'!$B30:$B430="Volley"),--('My order'!$C30:$C430="Woman"),--('My order'!$D30:$D430="S"))</f>
        <v>0</v>
      </c>
      <c r="N33" s="41">
        <f>SUMPRODUCT(--('My order'!$B30:$B430="Volley"),--('My order'!$C30:$C430="Woman"),--('My order'!$D30:$D430="M"))</f>
        <v>0</v>
      </c>
      <c r="O33" s="41">
        <f>SUMPRODUCT(--('My order'!$B30:$B430="Volley"),--('My order'!$C30:$C430="Woman"),--('My order'!$D30:$D430="L"))</f>
        <v>0</v>
      </c>
      <c r="P33" s="41">
        <f>SUMPRODUCT(--('My order'!$B30:$B430="Volley"),--('My order'!$C30:$C430="Woman"),--('My order'!$D30:$D430="XL"))</f>
        <v>0</v>
      </c>
      <c r="Q33" s="41">
        <f>SUMPRODUCT(--('My order'!$B30:$B430="Volley"),--('My order'!$C30:$C430="Woman"),--('My order'!$D30:$D430="XXL"))</f>
        <v>0</v>
      </c>
      <c r="R33" s="27"/>
      <c r="S33" s="46" t="s">
        <v>33</v>
      </c>
      <c r="T33" s="45">
        <f>SUMPRODUCT(--('My order'!$B30:$B430="Volley"),--('My order'!$C30:$C430="Kid"),--('My order'!$D30:$D430=6))</f>
        <v>0</v>
      </c>
      <c r="U33" s="45">
        <f>SUMPRODUCT(--('My order'!$B30:$B430="Volley"),--('My order'!$C30:$C430="Kid"),--('My order'!$D30:$D430=8))</f>
        <v>0</v>
      </c>
      <c r="V33" s="45">
        <f>SUMPRODUCT(--('My order'!$B30:$B430="Volley"),--('My order'!$C30:$C430="Kid"),--('My order'!$D30:$D430=10))</f>
        <v>0</v>
      </c>
      <c r="W33" s="27"/>
      <c r="X33" s="27"/>
      <c r="Y33" s="27"/>
      <c r="Z33" s="146"/>
      <c r="AA33" s="146"/>
      <c r="AB33" s="146"/>
      <c r="AC33" s="146"/>
      <c r="AD33" s="146"/>
      <c r="AE33" s="146"/>
      <c r="AF33" s="146"/>
      <c r="AG33" s="146"/>
      <c r="AH33" s="146"/>
      <c r="AI33" s="146"/>
      <c r="AJ33" s="146"/>
      <c r="AK33" s="146"/>
      <c r="AL33" s="146"/>
      <c r="AM33" s="146"/>
      <c r="AN33" s="146"/>
      <c r="AO33" s="146"/>
      <c r="AP33" s="146"/>
    </row>
    <row r="34" spans="1:42" ht="12.75">
      <c r="A34" s="27"/>
      <c r="B34" s="9" t="s">
        <v>34</v>
      </c>
      <c r="C34" s="43"/>
      <c r="D34" s="41">
        <f>SUMPRODUCT(--('My order'!$B30:$B430="Softshell"),--('My order'!$C30:$C430="Man"),--('My order'!$D30:$D430="S"))</f>
        <v>0</v>
      </c>
      <c r="E34" s="41">
        <f>SUMPRODUCT(--('My order'!$B30:$B430="Softshell"),--('My order'!$C30:$C430="Man"),--('My order'!$D30:$D430="M"))</f>
        <v>0</v>
      </c>
      <c r="F34" s="41">
        <f>SUMPRODUCT(--('My order'!$B30:$B430="Softshell"),--('My order'!$C30:$C430="Man"),--('My order'!$D30:$D430="L"))</f>
        <v>0</v>
      </c>
      <c r="G34" s="41">
        <f>SUMPRODUCT(--('My order'!$B30:$B430="Softshell"),--('My order'!$C30:$C430="Man"),--('My order'!$D30:$D430="XL"))</f>
        <v>0</v>
      </c>
      <c r="H34" s="41">
        <f>SUMPRODUCT(--('My order'!$B30:$B430="Softshell"),--('My order'!$C30:$C430="Man"),--('My order'!$D30:$D430="XXL"))</f>
        <v>0</v>
      </c>
      <c r="I34" s="45">
        <f>SUMPRODUCT(--('My order'!$B30:$B430="Softshell"),--('My order'!$C30:$C430="Man"),--('My order'!$D30:$D430="XXXL"))</f>
        <v>0</v>
      </c>
      <c r="J34" s="42"/>
      <c r="K34" s="9" t="s">
        <v>34</v>
      </c>
      <c r="L34" s="43"/>
      <c r="M34" s="41">
        <f>SUMPRODUCT(--('My order'!$B30:$B430="Softshell"),--('My order'!$C30:$C430="Woman"),--('My order'!$D30:$D430="S"))</f>
        <v>0</v>
      </c>
      <c r="N34" s="41">
        <f>SUMPRODUCT(--('My order'!$B30:$B430="Softshell"),--('My order'!$C30:$C430="Woman"),--('My order'!$D30:$D430="M"))</f>
        <v>0</v>
      </c>
      <c r="O34" s="41">
        <f>SUMPRODUCT(--('My order'!$B30:$B430="Softshell"),--('My order'!$C30:$C430="Woman"),--('My order'!$D30:$D430="L"))</f>
        <v>0</v>
      </c>
      <c r="P34" s="41">
        <f>SUMPRODUCT(--('My order'!$B30:$B430="Softshell"),--('My order'!$C30:$C430="Woman"),--('My order'!$D30:$D430="XL"))</f>
        <v>0</v>
      </c>
      <c r="Q34" s="41">
        <f>SUMPRODUCT(--('My order'!$B30:$B430="Softshell"),--('My order'!$C30:$C430="Woman"),--('My order'!$D30:$D430="XXL"))</f>
        <v>0</v>
      </c>
      <c r="R34" s="27"/>
      <c r="S34" s="9" t="s">
        <v>34</v>
      </c>
      <c r="T34" s="47"/>
      <c r="U34" s="47"/>
      <c r="V34" s="47"/>
      <c r="W34" s="27"/>
      <c r="X34" s="27"/>
      <c r="Y34" s="27"/>
      <c r="Z34" s="146"/>
      <c r="AA34" s="146"/>
      <c r="AB34" s="146"/>
      <c r="AC34" s="146"/>
      <c r="AD34" s="146"/>
      <c r="AE34" s="146"/>
      <c r="AF34" s="146"/>
      <c r="AG34" s="146"/>
      <c r="AH34" s="146"/>
      <c r="AI34" s="146"/>
      <c r="AJ34" s="146"/>
      <c r="AK34" s="146"/>
      <c r="AL34" s="146"/>
      <c r="AM34" s="146"/>
      <c r="AN34" s="146"/>
      <c r="AO34" s="146"/>
      <c r="AP34" s="146"/>
    </row>
    <row r="35" spans="1:42" ht="12.75">
      <c r="A35" s="27"/>
      <c r="B35" s="9" t="s">
        <v>35</v>
      </c>
      <c r="C35" s="45">
        <f>SUMPRODUCT(--('My order'!$B30:$B430="Surf_Top"),--('My order'!$C30:$C430="Man"),--('My order'!$D30:$D430="XS"))</f>
        <v>0</v>
      </c>
      <c r="D35" s="41">
        <f>SUMPRODUCT(--('My order'!$B30:$B430="Surf_Top"),--('My order'!$C30:$C430="Man"),--('My order'!$D30:$D430="S"))</f>
        <v>0</v>
      </c>
      <c r="E35" s="41">
        <f>SUMPRODUCT(--('My order'!$B30:$B430="Surf_Top"),--('My order'!$C30:$C430="Man"),--('My order'!$D30:$D430="M"))</f>
        <v>0</v>
      </c>
      <c r="F35" s="41">
        <f>SUMPRODUCT(--('My order'!$B30:$B430="Surf_Top"),--('My order'!$C30:$C430="Man"),--('My order'!$D30:$D430="L"))</f>
        <v>0</v>
      </c>
      <c r="G35" s="41">
        <f>SUMPRODUCT(--('My order'!$B30:$B430="Surf_Top"),--('My order'!$C30:$C430="Man"),--('My order'!$D30:$D430="XL"))</f>
        <v>0</v>
      </c>
      <c r="H35" s="41">
        <f>SUMPRODUCT(--('My order'!$B30:$B430="Surf_Top"),--('My order'!$C30:$C430="Man"),--('My order'!$D30:$D430="XXL"))</f>
        <v>0</v>
      </c>
      <c r="I35" s="45">
        <f>SUMPRODUCT(--('My order'!$B30:$B430="Surf_Top"),--('My order'!$C30:$C430="Man"),--('My order'!$D30:$D430="XXXL"))</f>
        <v>0</v>
      </c>
      <c r="J35" s="42"/>
      <c r="K35" s="9" t="s">
        <v>35</v>
      </c>
      <c r="L35" s="43"/>
      <c r="M35" s="41">
        <f>SUMPRODUCT(--('My order'!$B30:$B430="Surf_Top"),--('My order'!$C30:$C430="Woman"),--('My order'!$D30:$D430="S"))</f>
        <v>0</v>
      </c>
      <c r="N35" s="41">
        <f>SUMPRODUCT(--('My order'!$B30:$B430="Surf_Top"),--('My order'!$C30:$C430="Woman"),--('My order'!$D30:$D430="M"))</f>
        <v>0</v>
      </c>
      <c r="O35" s="41">
        <f>SUMPRODUCT(--('My order'!$B30:$B430="Surf_Top"),--('My order'!$C30:$C430="Woman"),--('My order'!$D30:$D430="L"))</f>
        <v>0</v>
      </c>
      <c r="P35" s="41">
        <f>SUMPRODUCT(--('My order'!$B30:$B430="Surf_Top"),--('My order'!$C30:$C430="Woman"),--('My order'!$D30:$D430="XL"))</f>
        <v>0</v>
      </c>
      <c r="Q35" s="41">
        <f>SUMPRODUCT(--('My order'!$B30:$B430="Surf_Top"),--('My order'!$C30:$C430="Woman"),--('My order'!$D30:$D430="XXL"))</f>
        <v>0</v>
      </c>
      <c r="R35" s="27"/>
      <c r="S35" s="9" t="s">
        <v>35</v>
      </c>
      <c r="T35" s="48">
        <f>SUMPRODUCT(--('My order'!$B30:$B430="Surf_Top"),--('My order'!$C30:$C430="Kid"),--('My order'!$D30:$D430=6))</f>
        <v>0</v>
      </c>
      <c r="U35" s="48">
        <f>SUMPRODUCT(--('My order'!$B30:$B430="Surf_Top"),--('My order'!$C30:$C430="Kid"),--('My order'!$D30:$D430=8))</f>
        <v>0</v>
      </c>
      <c r="V35" s="48">
        <f>SUMPRODUCT(--('My order'!$B30:$B430="Surf_Top"),--('My order'!$C30:$C430="Kid"),--('My order'!$D30:$D430=10))</f>
        <v>0</v>
      </c>
      <c r="W35" s="27"/>
      <c r="X35" s="27"/>
      <c r="Y35" s="27"/>
      <c r="Z35" s="146"/>
      <c r="AA35" s="146"/>
      <c r="AB35" s="146"/>
      <c r="AC35" s="146"/>
      <c r="AD35" s="146"/>
      <c r="AE35" s="146"/>
      <c r="AF35" s="146"/>
      <c r="AG35" s="146"/>
      <c r="AH35" s="146"/>
      <c r="AI35" s="146"/>
      <c r="AJ35" s="146"/>
      <c r="AK35" s="146"/>
      <c r="AL35" s="146"/>
      <c r="AM35" s="146"/>
      <c r="AN35" s="146"/>
      <c r="AO35" s="146"/>
      <c r="AP35" s="146"/>
    </row>
    <row r="36" spans="1:42" ht="12.75">
      <c r="A36" s="27"/>
      <c r="B36" s="9" t="s">
        <v>36</v>
      </c>
      <c r="C36" s="45">
        <f>SUMPRODUCT(--('My order'!$B30:$B430="Ziklo"),--('My order'!$C30:$C430="Man"),--('My order'!$D30:$D430="XS"))</f>
        <v>0</v>
      </c>
      <c r="D36" s="41">
        <f>SUMPRODUCT(--('My order'!$B30:$B430="Ziklo"),--('My order'!$C30:$C430="Man"),--('My order'!$D30:$D430="S"))</f>
        <v>0</v>
      </c>
      <c r="E36" s="41">
        <f>SUMPRODUCT(--('My order'!$B30:$B430="Ziklo"),--('My order'!$C30:$C430="Man"),--('My order'!$D30:$D430="M"))</f>
        <v>0</v>
      </c>
      <c r="F36" s="41">
        <f>SUMPRODUCT(--('My order'!$B30:$B430="Ziklo"),--('My order'!$C30:$C430="Man"),--('My order'!$D30:$D430="L"))</f>
        <v>0</v>
      </c>
      <c r="G36" s="41">
        <f>SUMPRODUCT(--('My order'!$B30:$B430="Ziklo"),--('My order'!$C30:$C430="Man"),--('My order'!$D30:$D430="XL"))</f>
        <v>0</v>
      </c>
      <c r="H36" s="41">
        <f>SUMPRODUCT(--('My order'!$B30:$B430="Ziklo"),--('My order'!$C30:$C430="Man"),--('My order'!$D30:$D430="XXL"))</f>
        <v>0</v>
      </c>
      <c r="I36" s="45">
        <f>SUMPRODUCT(--('My order'!$B30:$B430="Ziklo"),--('My order'!$C30:$C430="Man"),--('My order'!$D30:$D430="XXXL"))</f>
        <v>0</v>
      </c>
      <c r="J36" s="42"/>
      <c r="K36" s="9" t="s">
        <v>36</v>
      </c>
      <c r="L36" s="43"/>
      <c r="M36" s="41">
        <f>SUMPRODUCT(--('My order'!$B30:$B430="Ziklo"),--('My order'!$C30:$C430="Woman"),--('My order'!$D30:$D430="S"))</f>
        <v>0</v>
      </c>
      <c r="N36" s="41">
        <f>SUMPRODUCT(--('My order'!$B30:$B430="Ziklo"),--('My order'!$C30:$C430="Woman"),--('My order'!$D30:$D430="M"))</f>
        <v>0</v>
      </c>
      <c r="O36" s="41">
        <f>SUMPRODUCT(--('My order'!$B30:$B430="Ziklo"),--('My order'!$C30:$C430="Woman"),--('My order'!$D30:$D430="L"))</f>
        <v>0</v>
      </c>
      <c r="P36" s="41">
        <f>SUMPRODUCT(--('My order'!$B30:$B430="Ziklo"),--('My order'!$C30:$C430="Woman"),--('My order'!$D30:$D430="XL"))</f>
        <v>0</v>
      </c>
      <c r="Q36" s="41">
        <f>SUMPRODUCT(--('My order'!$B30:$B430="Ziklo"),--('My order'!$C30:$C430="Woman"),--('My order'!$D30:$D430="XXL"))</f>
        <v>0</v>
      </c>
      <c r="R36" s="27"/>
      <c r="S36" s="46" t="s">
        <v>36</v>
      </c>
      <c r="T36" s="48">
        <f>SUMPRODUCT(--('My order'!$B30:$B430="Ziklo"),--('My order'!$C30:$C430="Kid"),--('My order'!$D30:$D430=6))</f>
        <v>0</v>
      </c>
      <c r="U36" s="48">
        <f>SUMPRODUCT(--('My order'!$B30:$B430="Ziklo"),--('My order'!$C30:$C430="Kid"),--('My order'!$D30:$D430=8))</f>
        <v>0</v>
      </c>
      <c r="V36" s="48">
        <f>SUMPRODUCT(--('My order'!$B30:$B430="Ziklo"),--('My order'!$C30:$C430="Kid"),--('My order'!$D30:$D430=10))</f>
        <v>0</v>
      </c>
      <c r="W36" s="27"/>
      <c r="X36" s="27"/>
      <c r="Y36" s="27"/>
      <c r="Z36" s="146"/>
      <c r="AA36" s="146"/>
      <c r="AB36" s="146"/>
      <c r="AC36" s="146"/>
      <c r="AD36" s="146"/>
      <c r="AE36" s="146"/>
      <c r="AF36" s="146"/>
      <c r="AG36" s="146"/>
      <c r="AH36" s="146"/>
      <c r="AI36" s="146"/>
      <c r="AJ36" s="146"/>
      <c r="AK36" s="146"/>
      <c r="AL36" s="146"/>
      <c r="AM36" s="146"/>
      <c r="AN36" s="146"/>
      <c r="AO36" s="146"/>
      <c r="AP36" s="146"/>
    </row>
    <row r="37" spans="1:42" ht="12.75" customHeight="1">
      <c r="A37" s="27"/>
      <c r="B37" s="22" t="str">
        <f>IF('My order'!H2="English","Quantity by size","Quantité par taille")</f>
        <v>Quantity by size</v>
      </c>
      <c r="C37" s="49">
        <f aca="true" t="shared" si="0" ref="C37:I37">SUM(C11:C36)</f>
        <v>0</v>
      </c>
      <c r="D37" s="49">
        <f t="shared" si="0"/>
        <v>0</v>
      </c>
      <c r="E37" s="49">
        <f t="shared" si="0"/>
        <v>0</v>
      </c>
      <c r="F37" s="49">
        <f t="shared" si="0"/>
        <v>0</v>
      </c>
      <c r="G37" s="49">
        <f t="shared" si="0"/>
        <v>0</v>
      </c>
      <c r="H37" s="49">
        <f t="shared" si="0"/>
        <v>0</v>
      </c>
      <c r="I37" s="49">
        <f t="shared" si="0"/>
        <v>0</v>
      </c>
      <c r="J37" s="1"/>
      <c r="K37" s="22" t="str">
        <f>IF('My order'!H2="English","Quantity by size","Quantité par taille")</f>
        <v>Quantity by size</v>
      </c>
      <c r="L37" s="43"/>
      <c r="M37" s="49">
        <f>SUM(M11:M36)</f>
        <v>0</v>
      </c>
      <c r="N37" s="49">
        <f>SUM(N11:N36)</f>
        <v>0</v>
      </c>
      <c r="O37" s="49">
        <f>SUM(O11:O36)</f>
        <v>0</v>
      </c>
      <c r="P37" s="49">
        <f>SUM(P11:P36)</f>
        <v>0</v>
      </c>
      <c r="Q37" s="49">
        <f>SUM(Q11:Q36)</f>
        <v>0</v>
      </c>
      <c r="R37" s="27"/>
      <c r="S37" s="50" t="str">
        <f>IF('My order'!H2="English","Quantity by size","Quantité par taille")</f>
        <v>Quantity by size</v>
      </c>
      <c r="T37" s="51">
        <f>SUM(T11:T36)</f>
        <v>0</v>
      </c>
      <c r="U37" s="51">
        <f>SUM(U11:U36)</f>
        <v>0</v>
      </c>
      <c r="V37" s="51">
        <f>SUM(V11:V36)</f>
        <v>0</v>
      </c>
      <c r="W37" s="27"/>
      <c r="X37" s="27"/>
      <c r="Y37" s="27"/>
      <c r="Z37" s="146"/>
      <c r="AA37" s="146"/>
      <c r="AB37" s="146"/>
      <c r="AC37" s="146"/>
      <c r="AD37" s="146"/>
      <c r="AE37" s="146"/>
      <c r="AF37" s="146"/>
      <c r="AG37" s="146"/>
      <c r="AH37" s="146"/>
      <c r="AI37" s="146"/>
      <c r="AJ37" s="146"/>
      <c r="AK37" s="146"/>
      <c r="AL37" s="146"/>
      <c r="AM37" s="146"/>
      <c r="AN37" s="146"/>
      <c r="AO37" s="146"/>
      <c r="AP37" s="146"/>
    </row>
    <row r="38" spans="1:42" ht="12.75" customHeight="1">
      <c r="A38" s="27"/>
      <c r="B38" s="52" t="str">
        <f>IF('My order'!H2="English","Total Men","Total Homme")</f>
        <v>Total Men</v>
      </c>
      <c r="C38" s="133">
        <f>SUM(C37:I37)</f>
        <v>0</v>
      </c>
      <c r="D38" s="133"/>
      <c r="E38" s="133"/>
      <c r="F38" s="133"/>
      <c r="G38" s="133"/>
      <c r="H38" s="133"/>
      <c r="I38" s="133"/>
      <c r="J38" s="54"/>
      <c r="K38" s="55" t="str">
        <f>IF('My order'!H2="English","Total Women","Total Femme")</f>
        <v>Total Women</v>
      </c>
      <c r="L38" s="133">
        <f>SUM(L37:Q37)</f>
        <v>0</v>
      </c>
      <c r="M38" s="133"/>
      <c r="N38" s="133"/>
      <c r="O38" s="133"/>
      <c r="P38" s="133"/>
      <c r="Q38" s="133"/>
      <c r="R38" s="27"/>
      <c r="S38" s="55" t="str">
        <f>IF('My order'!H2="English","Total Kids","Total Enfant")</f>
        <v>Total Kids</v>
      </c>
      <c r="T38" s="133">
        <f>SUM(T37:V37)</f>
        <v>0</v>
      </c>
      <c r="U38" s="133"/>
      <c r="V38" s="133"/>
      <c r="W38" s="27"/>
      <c r="X38" s="27"/>
      <c r="Y38" s="27"/>
      <c r="Z38" s="146"/>
      <c r="AA38" s="146"/>
      <c r="AB38" s="146"/>
      <c r="AC38" s="146"/>
      <c r="AD38" s="146"/>
      <c r="AE38" s="146"/>
      <c r="AF38" s="146"/>
      <c r="AG38" s="146"/>
      <c r="AH38" s="146"/>
      <c r="AI38" s="146"/>
      <c r="AJ38" s="146"/>
      <c r="AK38" s="146"/>
      <c r="AL38" s="146"/>
      <c r="AM38" s="146"/>
      <c r="AN38" s="146"/>
      <c r="AO38" s="146"/>
      <c r="AP38" s="146"/>
    </row>
    <row r="39" spans="1:42" ht="12.75" customHeight="1">
      <c r="A39" s="27"/>
      <c r="J39" s="27"/>
      <c r="R39" s="27"/>
      <c r="S39" s="56"/>
      <c r="T39" s="57"/>
      <c r="U39" s="57"/>
      <c r="V39" s="54"/>
      <c r="W39" s="33" t="str">
        <f>IF('My order'!H2="English","Flags","Drapeaux")</f>
        <v>Flags</v>
      </c>
      <c r="X39" s="33"/>
      <c r="Y39" s="27"/>
      <c r="Z39" s="146"/>
      <c r="AA39" s="146"/>
      <c r="AB39" s="146"/>
      <c r="AC39" s="146"/>
      <c r="AD39" s="146"/>
      <c r="AE39" s="146"/>
      <c r="AF39" s="146"/>
      <c r="AG39" s="146"/>
      <c r="AH39" s="146"/>
      <c r="AI39" s="146"/>
      <c r="AJ39" s="146"/>
      <c r="AK39" s="146"/>
      <c r="AL39" s="146"/>
      <c r="AM39" s="146"/>
      <c r="AN39" s="146"/>
      <c r="AO39" s="146"/>
      <c r="AP39" s="146"/>
    </row>
    <row r="40" spans="1:42" ht="12.75">
      <c r="A40" s="27"/>
      <c r="B40" s="129" t="str">
        <f>IF('My order'!H2="English","Men's bottoms by size and type","Bas Homme par taille et type")</f>
        <v>Men's bottoms by size and type</v>
      </c>
      <c r="C40" s="129"/>
      <c r="D40" s="129"/>
      <c r="E40" s="129"/>
      <c r="F40" s="129"/>
      <c r="G40" s="129"/>
      <c r="H40" s="129"/>
      <c r="I40" s="129"/>
      <c r="J40" s="27"/>
      <c r="K40" s="129" t="str">
        <f>IF('My order'!H2="English","Women's bottoms by size and type","Bas Femme par taille et type")</f>
        <v>Women's bottoms by size and type</v>
      </c>
      <c r="L40" s="129"/>
      <c r="M40" s="129"/>
      <c r="N40" s="129"/>
      <c r="O40" s="129"/>
      <c r="P40" s="129"/>
      <c r="Q40" s="129"/>
      <c r="R40" s="27"/>
      <c r="S40" s="33" t="str">
        <f>IF('My order'!H2="English","Accessories","Accessoires")</f>
        <v>Accessories</v>
      </c>
      <c r="T40" s="33"/>
      <c r="U40" s="33"/>
      <c r="V40" s="54"/>
      <c r="W40" s="58" t="str">
        <f>IF('My order'!L2="English","Product","Produit")</f>
        <v>Produit</v>
      </c>
      <c r="X40" s="36" t="str">
        <f>IF('My order'!L2="English","Quantity","Quantité")</f>
        <v>Quantité</v>
      </c>
      <c r="Y40" s="27"/>
      <c r="Z40" s="146"/>
      <c r="AA40" s="146"/>
      <c r="AB40" s="146"/>
      <c r="AC40" s="146"/>
      <c r="AD40" s="146"/>
      <c r="AE40" s="146"/>
      <c r="AF40" s="146"/>
      <c r="AG40" s="146"/>
      <c r="AH40" s="146"/>
      <c r="AI40" s="146"/>
      <c r="AJ40" s="146"/>
      <c r="AK40" s="146"/>
      <c r="AL40" s="146"/>
      <c r="AM40" s="146"/>
      <c r="AN40" s="146"/>
      <c r="AO40" s="146"/>
      <c r="AP40" s="146"/>
    </row>
    <row r="41" spans="1:42" ht="12.75">
      <c r="A41" s="27"/>
      <c r="B41" s="134" t="str">
        <f>IF('My order'!H21="English","Product","Produit")</f>
        <v>Produit</v>
      </c>
      <c r="C41" s="135" t="str">
        <f>IF('My order'!H21="English","Quantity","Quantité")</f>
        <v>Quantité</v>
      </c>
      <c r="D41" s="135"/>
      <c r="E41" s="135"/>
      <c r="F41" s="135"/>
      <c r="G41" s="135"/>
      <c r="H41" s="135"/>
      <c r="I41" s="135"/>
      <c r="J41" s="27"/>
      <c r="K41" s="134" t="str">
        <f>IF('My order'!H21="English","Product","Produit")</f>
        <v>Produit</v>
      </c>
      <c r="L41" s="35"/>
      <c r="M41" s="135" t="str">
        <f>IF('My order'!H21="English","Quantity","Quantité")</f>
        <v>Quantité</v>
      </c>
      <c r="N41" s="135"/>
      <c r="O41" s="135"/>
      <c r="P41" s="135"/>
      <c r="Q41" s="135"/>
      <c r="R41" s="27"/>
      <c r="S41" s="58" t="str">
        <f>IF('My order'!H2="English","Product","Produit")</f>
        <v>Product</v>
      </c>
      <c r="T41" s="36" t="str">
        <f>IF('My order'!H2="English","Quantity","Quantité")</f>
        <v>Quantity</v>
      </c>
      <c r="U41" s="36"/>
      <c r="V41" s="27"/>
      <c r="W41" s="91" t="str">
        <f>IF('My order'!H2="English","Banner","Bannière")</f>
        <v>Banner</v>
      </c>
      <c r="X41" s="66">
        <f>SUMPRODUCT(--('My order'!$B30:$B430="Banner"),--('My order'!$C30:$C430="Sublimated"))</f>
        <v>0</v>
      </c>
      <c r="Y41" s="27"/>
      <c r="Z41" s="146"/>
      <c r="AA41" s="146"/>
      <c r="AB41" s="146"/>
      <c r="AC41" s="146"/>
      <c r="AD41" s="146"/>
      <c r="AE41" s="146"/>
      <c r="AF41" s="146"/>
      <c r="AG41" s="146"/>
      <c r="AH41" s="146"/>
      <c r="AI41" s="146"/>
      <c r="AJ41" s="146"/>
      <c r="AK41" s="146"/>
      <c r="AL41" s="146"/>
      <c r="AM41" s="146"/>
      <c r="AN41" s="146"/>
      <c r="AO41" s="146"/>
      <c r="AP41" s="146"/>
    </row>
    <row r="42" spans="1:42" ht="12.75">
      <c r="A42" s="27"/>
      <c r="B42" s="134"/>
      <c r="C42" s="38" t="s">
        <v>6</v>
      </c>
      <c r="D42" s="38" t="s">
        <v>7</v>
      </c>
      <c r="E42" s="38" t="s">
        <v>8</v>
      </c>
      <c r="F42" s="38" t="s">
        <v>9</v>
      </c>
      <c r="G42" s="38" t="s">
        <v>10</v>
      </c>
      <c r="H42" s="38" t="s">
        <v>11</v>
      </c>
      <c r="I42" s="38" t="s">
        <v>12</v>
      </c>
      <c r="J42" s="27"/>
      <c r="K42" s="134"/>
      <c r="L42" s="35" t="s">
        <v>6</v>
      </c>
      <c r="M42" s="38" t="s">
        <v>7</v>
      </c>
      <c r="N42" s="38" t="s">
        <v>8</v>
      </c>
      <c r="O42" s="38" t="s">
        <v>9</v>
      </c>
      <c r="P42" s="38" t="s">
        <v>10</v>
      </c>
      <c r="Q42" s="38" t="s">
        <v>11</v>
      </c>
      <c r="R42" s="27"/>
      <c r="S42" s="58"/>
      <c r="T42" s="59" t="s">
        <v>37</v>
      </c>
      <c r="U42" s="59" t="s">
        <v>38</v>
      </c>
      <c r="V42" s="27"/>
      <c r="W42" s="44" t="str">
        <f>IF('My order'!H2="English","Flag 150x85","Drapeau 150x85")</f>
        <v>Flag 150x85</v>
      </c>
      <c r="X42" s="41">
        <f>SUMPRODUCT(--('My order'!$B30:$B430="Rectangular_Flag"),--('My order'!$D30:$D430="150x85"))</f>
        <v>0</v>
      </c>
      <c r="Y42" s="27"/>
      <c r="Z42" s="146"/>
      <c r="AA42" s="146"/>
      <c r="AB42" s="146"/>
      <c r="AC42" s="146"/>
      <c r="AD42" s="146"/>
      <c r="AE42" s="146"/>
      <c r="AF42" s="146"/>
      <c r="AG42" s="146"/>
      <c r="AH42" s="146"/>
      <c r="AI42" s="146"/>
      <c r="AJ42" s="146"/>
      <c r="AK42" s="146"/>
      <c r="AL42" s="146"/>
      <c r="AM42" s="146"/>
      <c r="AN42" s="146"/>
      <c r="AO42" s="146"/>
      <c r="AP42" s="146"/>
    </row>
    <row r="43" spans="1:42" ht="12.75">
      <c r="A43" s="27"/>
      <c r="B43" s="9" t="s">
        <v>39</v>
      </c>
      <c r="C43" s="41">
        <f>SUMPRODUCT(--('My order'!$B30:$B430="Half_Leg"),--('My order'!$C30:$C430="Man"),--('My order'!$D30:$D430="XS"))</f>
        <v>0</v>
      </c>
      <c r="D43" s="41">
        <f>SUMPRODUCT(--('My order'!$B30:$B430="Half_Leg"),--('My order'!$C30:$C430="Man"),--('My order'!$D30:$D430="S"))</f>
        <v>0</v>
      </c>
      <c r="E43" s="41">
        <f>SUMPRODUCT(--('My order'!$B30:$B430="Half_Leg"),--('My order'!$C30:$C430="Man"),--('My order'!$D30:$D430="M"))</f>
        <v>0</v>
      </c>
      <c r="F43" s="41">
        <f>SUMPRODUCT(--('My order'!$B30:$B430="Half_Leg"),--('My order'!$C30:$C430="Man"),--('My order'!$D30:$D430="L"))</f>
        <v>0</v>
      </c>
      <c r="G43" s="41">
        <f>SUMPRODUCT(--('My order'!$B30:$B430="Half_Leg"),--('My order'!$C30:$C430="Man"),--('My order'!$D30:$D430="XL"))</f>
        <v>0</v>
      </c>
      <c r="H43" s="41">
        <f>SUMPRODUCT(--('My order'!$B30:$B430="Half_Leg"),--('My order'!$C30:$C430="Man"),--('My order'!$D30:$D430="XXL"))</f>
        <v>0</v>
      </c>
      <c r="I43" s="43"/>
      <c r="J43" s="42"/>
      <c r="K43" s="9" t="s">
        <v>39</v>
      </c>
      <c r="L43" s="60">
        <f>SUMPRODUCT(--('My order'!$B30:$B430="Half_Leg"),--('My order'!$C30:$C430="Woman"),--('My order'!$D30:$D430="XS"))</f>
        <v>0</v>
      </c>
      <c r="M43" s="41">
        <f>SUMPRODUCT(--('My order'!$B30:$B430="Half_Leg"),--('My order'!$C30:$C430="Woman"),--('My order'!$D30:$D430="S"))</f>
        <v>0</v>
      </c>
      <c r="N43" s="41">
        <f>SUMPRODUCT(--('My order'!$B30:$B430="Half_Leg"),--('My order'!$C30:$C430="Woman"),--('My order'!$D30:$D430="M"))</f>
        <v>0</v>
      </c>
      <c r="O43" s="41">
        <f>SUMPRODUCT(--('My order'!$B30:$B430="Half_Leg"),--('My order'!$C30:$C430="Woman"),--('My order'!$D30:$D430="L"))</f>
        <v>0</v>
      </c>
      <c r="P43" s="41">
        <f>SUMPRODUCT(--('My order'!$B30:$B430="Half_Leg"),--('My order'!$C30:$C430="Woman"),--('My order'!$D30:$D430="XL"))</f>
        <v>0</v>
      </c>
      <c r="Q43" s="45">
        <f>SUMPRODUCT(--('My order'!$B30:$B430="Half_Leg"),--('My order'!$C30:$C430="Woman"),--('My order'!$D30:$D430="XXL"))</f>
        <v>0</v>
      </c>
      <c r="R43" s="27"/>
      <c r="S43" s="44" t="str">
        <f>IF('My order'!H2="English","Sleeves Men","Manches Homme")</f>
        <v>Sleeves Men</v>
      </c>
      <c r="T43" s="41">
        <f>SUMPRODUCT(--('My order'!$B30:$B430="Compression_Sleeves"),--('My order'!$C30:$C430="Man"),--('My order'!$D30:$D430="S-M"))</f>
        <v>0</v>
      </c>
      <c r="U43" s="41">
        <f>SUMPRODUCT(--('My order'!$B30:$B430="Compression_Sleeves"),--('My order'!$C30:$C430="Man"),--('My order'!$D30:$D430="L-XL"))</f>
        <v>0</v>
      </c>
      <c r="V43" s="27"/>
      <c r="W43" s="44" t="str">
        <f>IF('My order'!H2="English","Flag 134x123","Drapeau 134x123")</f>
        <v>Flag 134x123</v>
      </c>
      <c r="X43" s="41">
        <f>SUMPRODUCT(--('My order'!$B30:$B430="Rectangular_Flag"),--('My order'!$D30:$D430="134x123"))</f>
        <v>0</v>
      </c>
      <c r="Y43" s="27"/>
      <c r="Z43" s="146"/>
      <c r="AA43" s="146"/>
      <c r="AB43" s="146"/>
      <c r="AC43" s="146"/>
      <c r="AD43" s="146"/>
      <c r="AE43" s="146"/>
      <c r="AF43" s="146"/>
      <c r="AG43" s="146"/>
      <c r="AH43" s="146"/>
      <c r="AI43" s="146"/>
      <c r="AJ43" s="146"/>
      <c r="AK43" s="146"/>
      <c r="AL43" s="146"/>
      <c r="AM43" s="146"/>
      <c r="AN43" s="146"/>
      <c r="AO43" s="146"/>
      <c r="AP43" s="146"/>
    </row>
    <row r="44" spans="1:42" ht="12.75">
      <c r="A44" s="27"/>
      <c r="B44" s="9" t="s">
        <v>40</v>
      </c>
      <c r="C44" s="41">
        <f>SUMPRODUCT(--('My order'!$B30:$B430="Korsair"),--('My order'!$C30:$C430="Man"),--('My order'!$D30:$D430="XS"))</f>
        <v>0</v>
      </c>
      <c r="D44" s="41">
        <f>SUMPRODUCT(--('My order'!$B30:$B430="Korsair"),--('My order'!$C30:$C430="Man"),--('My order'!$D30:$D430="S"))</f>
        <v>0</v>
      </c>
      <c r="E44" s="41">
        <f>SUMPRODUCT(--('My order'!$B30:$B430="Korsair"),--('My order'!$C30:$C430="Man"),--('My order'!$D30:$D430="M"))</f>
        <v>0</v>
      </c>
      <c r="F44" s="41">
        <f>SUMPRODUCT(--('My order'!$B30:$B430="Korsair"),--('My order'!$C30:$C430="Man"),--('My order'!$D30:$D430="L"))</f>
        <v>0</v>
      </c>
      <c r="G44" s="41">
        <f>SUMPRODUCT(--('My order'!$B30:$B430="Korsair"),--('My order'!$C30:$C430="Man"),--('My order'!$D30:$D430="XL"))</f>
        <v>0</v>
      </c>
      <c r="H44" s="41">
        <f>SUMPRODUCT(--('My order'!$B30:$B430="Korsair"),--('My order'!$C30:$C430="Man"),--('My order'!$D30:$D430="XXL"))</f>
        <v>0</v>
      </c>
      <c r="I44" s="43"/>
      <c r="J44" s="42"/>
      <c r="K44" s="9" t="s">
        <v>40</v>
      </c>
      <c r="L44" s="60">
        <f>SUMPRODUCT(--('My order'!$B30:$B430="Korsair"),--('My order'!$C30:$C430="Woman"),--('My order'!$D30:$D430="XS"))</f>
        <v>0</v>
      </c>
      <c r="M44" s="41">
        <f>SUMPRODUCT(--('My order'!$B30:$B430="Korsair"),--('My order'!$C30:$C430="Woman"),--('My order'!$D30:$D430="S"))</f>
        <v>0</v>
      </c>
      <c r="N44" s="41">
        <f>SUMPRODUCT(--('My order'!$B30:$B430="Korsair"),--('My order'!$C30:$C430="Woman"),--('My order'!$D30:$D430="M"))</f>
        <v>0</v>
      </c>
      <c r="O44" s="41">
        <f>SUMPRODUCT(--('My order'!$B30:$B430="Korsair"),--('My order'!$C30:$C430="Woman"),--('My order'!$D30:$D430="L"))</f>
        <v>0</v>
      </c>
      <c r="P44" s="41">
        <f>SUMPRODUCT(--('My order'!$B30:$B430="Korsair"),--('My order'!$C30:$C430="Woman"),--('My order'!$D30:$D430="XL"))</f>
        <v>0</v>
      </c>
      <c r="Q44" s="45">
        <f>SUMPRODUCT(--('My order'!$B30:$B430="Korsair"),--('My order'!$C30:$C430="Woman"),--('My order'!$D30:$D430="XXL"))</f>
        <v>0</v>
      </c>
      <c r="R44" s="27"/>
      <c r="S44" s="44" t="str">
        <f>IF('My order'!H2="English","Sleeves Women","Manches Femme")</f>
        <v>Sleeves Women</v>
      </c>
      <c r="T44" s="61">
        <f>SUMPRODUCT(--('My order'!$B30:$B430="Compression_Sleeves"),--('My order'!$C30:$C430="Woman"),--('My order'!$D30:$D430="S-M"))</f>
        <v>0</v>
      </c>
      <c r="U44" s="61">
        <f>SUMPRODUCT(--('My order'!$B30:$B430="Compression_Sleeves"),--('My order'!$C30:$C430="Woman"),--('My order'!$D30:$D430="L-XL"))</f>
        <v>0</v>
      </c>
      <c r="V44" s="27"/>
      <c r="W44" s="44" t="str">
        <f>IF('My order'!H2="English","Beach Flag 450x80","Oriflamme 450x80")</f>
        <v>Beach Flag 450x80</v>
      </c>
      <c r="X44" s="41">
        <f>SUMPRODUCT(--('My order'!$B30:$B430="Beach_Flag"),--('My order'!$D30:$D430="450x80"))</f>
        <v>0</v>
      </c>
      <c r="Y44" s="27"/>
      <c r="Z44" s="146"/>
      <c r="AA44" s="146"/>
      <c r="AB44" s="146"/>
      <c r="AC44" s="146"/>
      <c r="AD44" s="146"/>
      <c r="AE44" s="146"/>
      <c r="AF44" s="146"/>
      <c r="AG44" s="146"/>
      <c r="AH44" s="146"/>
      <c r="AI44" s="146"/>
      <c r="AJ44" s="146"/>
      <c r="AK44" s="146"/>
      <c r="AL44" s="146"/>
      <c r="AM44" s="146"/>
      <c r="AN44" s="146"/>
      <c r="AO44" s="146"/>
      <c r="AP44" s="146"/>
    </row>
    <row r="45" spans="1:42" ht="12.75">
      <c r="A45" s="27"/>
      <c r="B45" s="9" t="s">
        <v>41</v>
      </c>
      <c r="C45" s="41">
        <f>SUMPRODUCT(--('My order'!$B30:$B430="Korsair_Plus"),--('My order'!$C30:$C430="Man"),--('My order'!$D30:$D430="XS"))</f>
        <v>0</v>
      </c>
      <c r="D45" s="41">
        <f>SUMPRODUCT(--('My order'!$B30:$B430="Korsair_Plus"),--('My order'!$C30:$C430="Man"),--('My order'!$D30:$D430="S"))</f>
        <v>0</v>
      </c>
      <c r="E45" s="41">
        <f>SUMPRODUCT(--('My order'!$B30:$B430="Korsair_Plus"),--('My order'!$C30:$C430="Man"),--('My order'!$D30:$D430="M"))</f>
        <v>0</v>
      </c>
      <c r="F45" s="41">
        <f>SUMPRODUCT(--('My order'!$B30:$B430="Korsair_Plus"),--('My order'!$C30:$C430="Man"),--('My order'!$D30:$D430="L"))</f>
        <v>0</v>
      </c>
      <c r="G45" s="41">
        <f>SUMPRODUCT(--('My order'!$B30:$B430="Korsair_Plus"),--('My order'!$C30:$C430="Man"),--('My order'!$D30:$D430="XL"))</f>
        <v>0</v>
      </c>
      <c r="H45" s="41">
        <f>SUMPRODUCT(--('My order'!$B30:$B430="Korsair_Plus"),--('My order'!$C30:$C430="Man"),--('My order'!$D30:$D430="XXL"))</f>
        <v>0</v>
      </c>
      <c r="I45" s="43"/>
      <c r="J45" s="42"/>
      <c r="K45" s="9" t="s">
        <v>40</v>
      </c>
      <c r="L45" s="60">
        <f>SUMPRODUCT(--('My order'!$B30:$B430="Korsair_Plus"),--('My order'!$C30:$C430="Woman"),--('My order'!$D30:$D430="XS"))</f>
        <v>0</v>
      </c>
      <c r="M45" s="41">
        <f>SUMPRODUCT(--('My order'!$B30:$B430="Korsair_Plus"),--('My order'!$C30:$C430="Woman"),--('My order'!$D30:$D430="S"))</f>
        <v>0</v>
      </c>
      <c r="N45" s="41">
        <f>SUMPRODUCT(--('My order'!$B30:$B430="Korsair_Plus"),--('My order'!$C30:$C430="Woman"),--('My order'!$D30:$D430="M"))</f>
        <v>0</v>
      </c>
      <c r="O45" s="41">
        <f>SUMPRODUCT(--('My order'!$B30:$B430="Korsair_Plus"),--('My order'!$C30:$C430="Woman"),--('My order'!$D30:$D430="L"))</f>
        <v>0</v>
      </c>
      <c r="P45" s="41">
        <f>SUMPRODUCT(--('My order'!$B30:$B430="Korsair_Plus"),--('My order'!$C30:$C430="Woman"),--('My order'!$D30:$D430="XL"))</f>
        <v>0</v>
      </c>
      <c r="Q45" s="45">
        <f>SUMPRODUCT(--('My order'!$B30:$B430="Korsair_Plus"),--('My order'!$C30:$C430="Woman"),--('My order'!$D30:$D430="XXL"))</f>
        <v>0</v>
      </c>
      <c r="R45" s="27"/>
      <c r="S45" s="62" t="str">
        <f>IF('My order'!H2="English","Total Sleeves","Total Manches")</f>
        <v>Total Sleeves</v>
      </c>
      <c r="T45" s="133">
        <f>SUM(T43:U44)</f>
        <v>0</v>
      </c>
      <c r="U45" s="133"/>
      <c r="V45" s="27"/>
      <c r="W45" s="44" t="str">
        <f>IF('My order'!H2="English","Beach Flag 350x62","Oriflamme 350x62")</f>
        <v>Beach Flag 350x62</v>
      </c>
      <c r="X45" s="41">
        <f>SUMPRODUCT(--('My order'!$B31:$B231="Beach_Flag"),--('My order'!$D31:$D231="350x62"))</f>
        <v>0</v>
      </c>
      <c r="Y45" s="27"/>
      <c r="Z45" s="146"/>
      <c r="AA45" s="146"/>
      <c r="AB45" s="146"/>
      <c r="AC45" s="146"/>
      <c r="AD45" s="146"/>
      <c r="AE45" s="146"/>
      <c r="AF45" s="146"/>
      <c r="AG45" s="146"/>
      <c r="AH45" s="146"/>
      <c r="AI45" s="146"/>
      <c r="AJ45" s="146"/>
      <c r="AK45" s="146"/>
      <c r="AL45" s="146"/>
      <c r="AM45" s="146"/>
      <c r="AN45" s="146"/>
      <c r="AO45" s="146"/>
      <c r="AP45" s="146"/>
    </row>
    <row r="46" spans="1:42" ht="12.75">
      <c r="A46" s="27"/>
      <c r="B46" s="9" t="s">
        <v>42</v>
      </c>
      <c r="C46" s="41">
        <f>SUMPRODUCT(--('My order'!$B30:$B430="Legging"),--('My order'!$C30:$C430="Man"),--('My order'!$D30:$D430="XS"))</f>
        <v>0</v>
      </c>
      <c r="D46" s="41">
        <f>SUMPRODUCT(--('My order'!$B30:$B430="Legging"),--('My order'!$C30:$C430="Man"),--('My order'!$D30:$D430="M"))</f>
        <v>0</v>
      </c>
      <c r="E46" s="41">
        <f>SUMPRODUCT(--('My order'!$B30:$B430="Legging"),--('My order'!$C30:$C430="Man"),--('My order'!$D30:$D430="L"))</f>
        <v>0</v>
      </c>
      <c r="F46" s="41">
        <f>SUMPRODUCT(--('My order'!$B30:$B430="Legging"),--('My order'!$C30:$C430="Man"),--('My order'!$D30:$D430="L"))</f>
        <v>0</v>
      </c>
      <c r="G46" s="41">
        <f>SUMPRODUCT(--('My order'!$B30:$B430="Legging"),--('My order'!$C30:$C430="Man"),--('My order'!$D30:$D430="XL"))</f>
        <v>0</v>
      </c>
      <c r="H46" s="41">
        <f>SUMPRODUCT(--('My order'!$B30:$B430="Legging"),--('My order'!$C30:$C430="Man"),--('My order'!$D30:$D430="XXL"))</f>
        <v>0</v>
      </c>
      <c r="I46" s="43"/>
      <c r="J46" s="42"/>
      <c r="K46" s="9" t="s">
        <v>42</v>
      </c>
      <c r="L46" s="60">
        <f>SUMPRODUCT(--('My order'!$B30:$B430="Legging"),--('My order'!$C30:$C430="Woman"),--('My order'!$D30:$D430="XS"))</f>
        <v>0</v>
      </c>
      <c r="M46" s="41">
        <f>SUMPRODUCT(--('My order'!$B30:$B430="Legging"),--('My order'!$C30:$C430="Woman"),--('My order'!$D30:$D430="S"))</f>
        <v>0</v>
      </c>
      <c r="N46" s="41">
        <f>SUMPRODUCT(--('My order'!$B30:$B430="Legging"),--('My order'!$C30:$C430="Woman"),--('My order'!$D30:$D430="M"))</f>
        <v>0</v>
      </c>
      <c r="O46" s="41">
        <f>SUMPRODUCT(--('My order'!$B30:$B430="Legging"),--('My order'!$C30:$C430="Woman"),--('My order'!$D30:$D430="L"))</f>
        <v>0</v>
      </c>
      <c r="P46" s="41">
        <f>SUMPRODUCT(--('My order'!$B30:$B430="Legging"),--('My order'!$C30:$C430="Woman"),--('My order'!$D30:$D430="XL"))</f>
        <v>0</v>
      </c>
      <c r="Q46" s="45">
        <f>SUMPRODUCT(--('My order'!$B30:$B430="Legging"),--('My order'!$C30:$C430="Woman"),--('My order'!$D30:$D430="XXL"))</f>
        <v>0</v>
      </c>
      <c r="R46" s="27"/>
      <c r="S46" s="44" t="str">
        <f>IF('My order'!H2="English","5 Panel Cap","Casquette 5 Panel")</f>
        <v>5 Panel Cap</v>
      </c>
      <c r="T46" s="127">
        <f>SUMPRODUCT(--('My order'!$B30:$B430="Cap"),--('My order'!$C30:$C430="5_Panel"))</f>
        <v>0</v>
      </c>
      <c r="U46" s="127"/>
      <c r="V46" s="27"/>
      <c r="W46" s="44" t="str">
        <f>IF('My order'!H2="English","Beach Flag 250x48","Oriflamme 250x48")</f>
        <v>Beach Flag 250x48</v>
      </c>
      <c r="X46" s="41">
        <f>SUMPRODUCT(--('My order'!$B32:$B232="Beach_Flag"),--('My order'!$D32:$D232="250x48"))</f>
        <v>0</v>
      </c>
      <c r="Y46" s="27"/>
      <c r="Z46" s="146"/>
      <c r="AA46" s="146"/>
      <c r="AB46" s="146"/>
      <c r="AC46" s="146"/>
      <c r="AD46" s="146"/>
      <c r="AE46" s="146"/>
      <c r="AF46" s="146"/>
      <c r="AG46" s="146"/>
      <c r="AH46" s="146"/>
      <c r="AI46" s="146"/>
      <c r="AJ46" s="146"/>
      <c r="AK46" s="146"/>
      <c r="AL46" s="146"/>
      <c r="AM46" s="146"/>
      <c r="AN46" s="146"/>
      <c r="AO46" s="146"/>
      <c r="AP46" s="146"/>
    </row>
    <row r="47" spans="1:42" ht="12.75">
      <c r="A47" s="27"/>
      <c r="B47" s="9" t="s">
        <v>43</v>
      </c>
      <c r="C47" s="41">
        <f>SUMPRODUCT(--('My order'!$B30:$B430="Underwear"),--('My order'!$C30:$C430="Man"),--('My order'!$D30:$D430="XS"))</f>
        <v>0</v>
      </c>
      <c r="D47" s="41">
        <f>SUMPRODUCT(--('My order'!$B30:$B430="Underwear"),--('My order'!$C30:$C430="Man"),--('My order'!$D30:$D430="S"))</f>
        <v>0</v>
      </c>
      <c r="E47" s="41">
        <f>SUMPRODUCT(--('My order'!$B30:$B430="Underwear"),--('My order'!$C30:$C430="Man"),--('My order'!$D30:$D430="M"))</f>
        <v>0</v>
      </c>
      <c r="F47" s="41">
        <f>SUMPRODUCT(--('My order'!$B30:$B430="Underwear"),--('My order'!$C30:$C430="Man"),--('My order'!$D30:$D430="L"))</f>
        <v>0</v>
      </c>
      <c r="G47" s="41">
        <f>SUMPRODUCT(--('My order'!$B30:$B430="Underwear"),--('My order'!$C30:$C430="Man"),--('My order'!$D30:$D430="XL"))</f>
        <v>0</v>
      </c>
      <c r="H47" s="41">
        <f>SUMPRODUCT(--('My order'!$B30:$B430="Underwear"),--('My order'!$C30:$C430="Man"),--('My order'!$D30:$D430="XXL"))</f>
        <v>0</v>
      </c>
      <c r="I47" s="43"/>
      <c r="J47" s="42"/>
      <c r="K47" s="9" t="s">
        <v>43</v>
      </c>
      <c r="L47" s="60">
        <f>SUMPRODUCT(--('My order'!$B30:$B430="Underwear"),--('My order'!$C30:$C430="Woman"),--('My order'!$D30:$D430="XS"))</f>
        <v>0</v>
      </c>
      <c r="M47" s="41">
        <f>SUMPRODUCT(--('My order'!$B30:$B430="Underwear"),--('My order'!$C30:$C430="Woman"),--('My order'!$D30:$D430="S"))</f>
        <v>0</v>
      </c>
      <c r="N47" s="41">
        <f>SUMPRODUCT(--('My order'!$B30:$B430="Underwear"),--('My order'!$C30:$C430="Woman"),--('My order'!$D30:$D430="M"))</f>
        <v>0</v>
      </c>
      <c r="O47" s="41">
        <f>SUMPRODUCT(--('My order'!$B30:$B430="Underwear"),--('My order'!$C30:$C430="Woman"),--('My order'!$D30:$D430="L"))</f>
        <v>0</v>
      </c>
      <c r="P47" s="41">
        <f>SUMPRODUCT(--('My order'!$B30:$B430="Underwear"),--('My order'!$C30:$C430="Woman"),--('My order'!$D30:$D430="XL"))</f>
        <v>0</v>
      </c>
      <c r="Q47" s="45">
        <f>SUMPRODUCT(--('My order'!$B30:$B430="Underwear"),--('My order'!$C30:$C430="Woman"),--('My order'!$D30:$D430="XXL"))</f>
        <v>0</v>
      </c>
      <c r="R47" s="27"/>
      <c r="S47" s="44" t="str">
        <f>IF('My order'!H2="English","Flexfit Cap","Casquette Flexfit")</f>
        <v>Flexfit Cap</v>
      </c>
      <c r="T47" s="41">
        <f>SUMPRODUCT(--('My order'!$B30:$B430="Cap"),--('My order'!$C30:$C430="Flexfit"),--('My order'!$D30:$D430="S-M"))</f>
        <v>0</v>
      </c>
      <c r="U47" s="41">
        <f>SUMPRODUCT(--('My order'!$B30:$B430="Cap"),--('My order'!$C30:$C430="Flexfit"),--('My order'!$D30:$D430="L-XL"))</f>
        <v>0</v>
      </c>
      <c r="V47" s="27"/>
      <c r="W47" s="44" t="str">
        <f>IF('My order'!H2="English","Grass flag foot - spike","Pied pour herbe")</f>
        <v>Grass flag foot - spike</v>
      </c>
      <c r="X47" s="41">
        <f>SUMPRODUCT(--('My order'!$B30:$B430="Foot"),--('My order'!$C30:$C430="Grass_Spike"))</f>
        <v>0</v>
      </c>
      <c r="Y47" s="27"/>
      <c r="Z47" s="146"/>
      <c r="AA47" s="146"/>
      <c r="AB47" s="146"/>
      <c r="AC47" s="146"/>
      <c r="AD47" s="146"/>
      <c r="AE47" s="146"/>
      <c r="AF47" s="146"/>
      <c r="AG47" s="146"/>
      <c r="AH47" s="146"/>
      <c r="AI47" s="146"/>
      <c r="AJ47" s="146"/>
      <c r="AK47" s="146"/>
      <c r="AL47" s="146"/>
      <c r="AM47" s="146"/>
      <c r="AN47" s="146"/>
      <c r="AO47" s="146"/>
      <c r="AP47" s="146"/>
    </row>
    <row r="48" spans="1:42" ht="12.75">
      <c r="A48" s="27"/>
      <c r="B48" s="22" t="str">
        <f>IF('My order'!H2="English","Quantity by size","Quantité par taille")</f>
        <v>Quantity by size</v>
      </c>
      <c r="C48" s="49">
        <f aca="true" t="shared" si="1" ref="C48:I48">SUM(C43:C47)</f>
        <v>0</v>
      </c>
      <c r="D48" s="49">
        <f t="shared" si="1"/>
        <v>0</v>
      </c>
      <c r="E48" s="49">
        <f t="shared" si="1"/>
        <v>0</v>
      </c>
      <c r="F48" s="49">
        <f t="shared" si="1"/>
        <v>0</v>
      </c>
      <c r="G48" s="49">
        <f t="shared" si="1"/>
        <v>0</v>
      </c>
      <c r="H48" s="49">
        <f t="shared" si="1"/>
        <v>0</v>
      </c>
      <c r="I48" s="49">
        <f t="shared" si="1"/>
        <v>0</v>
      </c>
      <c r="J48" s="1"/>
      <c r="K48" s="22" t="str">
        <f>IF('My order'!H2="English","Quantity by size","Quantité par taille")</f>
        <v>Quantity by size</v>
      </c>
      <c r="L48" s="49">
        <f aca="true" t="shared" si="2" ref="L48:Q48">SUM(L43:L47)</f>
        <v>0</v>
      </c>
      <c r="M48" s="49">
        <f t="shared" si="2"/>
        <v>0</v>
      </c>
      <c r="N48" s="49">
        <f t="shared" si="2"/>
        <v>0</v>
      </c>
      <c r="O48" s="49">
        <f t="shared" si="2"/>
        <v>0</v>
      </c>
      <c r="P48" s="49">
        <f t="shared" si="2"/>
        <v>0</v>
      </c>
      <c r="Q48" s="49">
        <f t="shared" si="2"/>
        <v>0</v>
      </c>
      <c r="R48" s="27"/>
      <c r="S48" s="44" t="str">
        <f>IF('My order'!H2="English","Trucker Cap","Casquette Trucker")</f>
        <v>Trucker Cap</v>
      </c>
      <c r="T48" s="127">
        <f>SUMPRODUCT(--('My order'!$B30:$B430="Cap"),--('My order'!$C30:$C430="Trucker"))</f>
        <v>0</v>
      </c>
      <c r="U48" s="127"/>
      <c r="V48" s="27"/>
      <c r="W48" s="44" t="str">
        <f>IF('My order'!H2="English","Sand flag foot - screw","Pied pour sable - vis")</f>
        <v>Sand flag foot - screw</v>
      </c>
      <c r="X48" s="41">
        <f>SUMPRODUCT(--('My order'!$B30:$B430="Foot"),--('My order'!$C30:$C430="Sand_Screw"))</f>
        <v>0</v>
      </c>
      <c r="Y48" s="63"/>
      <c r="Z48" s="146"/>
      <c r="AA48" s="146"/>
      <c r="AB48" s="146"/>
      <c r="AC48" s="146"/>
      <c r="AD48" s="146"/>
      <c r="AE48" s="146"/>
      <c r="AF48" s="146"/>
      <c r="AG48" s="146"/>
      <c r="AH48" s="146"/>
      <c r="AI48" s="146"/>
      <c r="AJ48" s="146"/>
      <c r="AK48" s="146"/>
      <c r="AL48" s="146"/>
      <c r="AM48" s="146"/>
      <c r="AN48" s="146"/>
      <c r="AO48" s="146"/>
      <c r="AP48" s="146"/>
    </row>
    <row r="49" spans="1:42" ht="12.75">
      <c r="A49" s="27"/>
      <c r="B49" s="52" t="str">
        <f>IF('My order'!H2="English","Total Men","Total Homme")</f>
        <v>Total Men</v>
      </c>
      <c r="C49" s="133">
        <f>SUM(C48:I48)</f>
        <v>0</v>
      </c>
      <c r="D49" s="133"/>
      <c r="E49" s="133"/>
      <c r="F49" s="133"/>
      <c r="G49" s="133"/>
      <c r="H49" s="133"/>
      <c r="I49" s="133"/>
      <c r="J49" s="54"/>
      <c r="K49" s="55" t="str">
        <f>IF('My order'!H2="English","Total Women","Total Femme")</f>
        <v>Total Women</v>
      </c>
      <c r="L49" s="133">
        <f>SUM(L48:Q48)</f>
        <v>0</v>
      </c>
      <c r="M49" s="133"/>
      <c r="N49" s="133"/>
      <c r="O49" s="133"/>
      <c r="P49" s="133"/>
      <c r="Q49" s="133"/>
      <c r="R49" s="27"/>
      <c r="S49" s="62" t="str">
        <f>IF('My order'!H2="English","Total Caps","Total Casquettes")</f>
        <v>Total Caps</v>
      </c>
      <c r="T49" s="133">
        <f>SUM(T46:U48)</f>
        <v>0</v>
      </c>
      <c r="U49" s="133"/>
      <c r="V49" s="27"/>
      <c r="W49" s="44" t="s">
        <v>44</v>
      </c>
      <c r="X49" s="41">
        <f>SUMPRODUCT(--('My order'!$B30:$B430="Fanion"),--('My order'!$C30:$C430="Sublimated"))</f>
        <v>0</v>
      </c>
      <c r="Y49" s="27"/>
      <c r="Z49" s="146"/>
      <c r="AA49" s="146"/>
      <c r="AB49" s="146"/>
      <c r="AC49" s="146"/>
      <c r="AD49" s="146"/>
      <c r="AE49" s="146"/>
      <c r="AF49" s="146"/>
      <c r="AG49" s="146"/>
      <c r="AH49" s="146"/>
      <c r="AI49" s="146"/>
      <c r="AJ49" s="146"/>
      <c r="AK49" s="146"/>
      <c r="AL49" s="146"/>
      <c r="AM49" s="146"/>
      <c r="AN49" s="146"/>
      <c r="AO49" s="146"/>
      <c r="AP49" s="146"/>
    </row>
    <row r="50" spans="1:42" ht="12.75">
      <c r="A50" s="27"/>
      <c r="B50" s="27"/>
      <c r="C50" s="27"/>
      <c r="D50" s="27"/>
      <c r="E50" s="27"/>
      <c r="F50" s="27"/>
      <c r="G50" s="27"/>
      <c r="H50" s="27"/>
      <c r="I50" s="27"/>
      <c r="J50" s="27"/>
      <c r="K50" s="27"/>
      <c r="L50" s="27"/>
      <c r="M50" s="27"/>
      <c r="N50" s="27"/>
      <c r="O50" s="27"/>
      <c r="P50" s="27"/>
      <c r="Q50" s="27"/>
      <c r="R50" s="27"/>
      <c r="S50" s="44" t="str">
        <f>IF('My order'!H2="English","Gloves Adult","Gants Adulte")</f>
        <v>Gloves Adult</v>
      </c>
      <c r="T50" s="127">
        <f>SUMPRODUCT(--('My order'!$B30:$B430="Gloves"),--('My order'!$C30:$C430="Adult"))</f>
        <v>0</v>
      </c>
      <c r="U50" s="127"/>
      <c r="W50" s="44" t="str">
        <f>IF('My order'!H2="English","Garland","Guirlande")</f>
        <v>Garland</v>
      </c>
      <c r="X50" s="61">
        <f>SUMPRODUCT(--('My order'!$B30:$B430="Garland"),--('My order'!$C30:$C430="Sublimated"))</f>
        <v>0</v>
      </c>
      <c r="Y50" s="27"/>
      <c r="Z50" s="146"/>
      <c r="AA50" s="146"/>
      <c r="AB50" s="146"/>
      <c r="AC50" s="146"/>
      <c r="AD50" s="146"/>
      <c r="AE50" s="146"/>
      <c r="AF50" s="146"/>
      <c r="AG50" s="146"/>
      <c r="AH50" s="146"/>
      <c r="AI50" s="146"/>
      <c r="AJ50" s="146"/>
      <c r="AK50" s="146"/>
      <c r="AL50" s="146"/>
      <c r="AM50" s="146"/>
      <c r="AN50" s="146"/>
      <c r="AO50" s="146"/>
      <c r="AP50" s="146"/>
    </row>
    <row r="51" spans="1:42" ht="12.75">
      <c r="A51" s="27"/>
      <c r="B51" s="37"/>
      <c r="C51" s="37"/>
      <c r="D51" s="37"/>
      <c r="E51" s="37"/>
      <c r="F51" s="37"/>
      <c r="G51" s="37"/>
      <c r="H51" s="37"/>
      <c r="I51" s="27"/>
      <c r="J51" s="27"/>
      <c r="K51" s="27"/>
      <c r="L51" s="27"/>
      <c r="M51" s="27"/>
      <c r="N51" s="27"/>
      <c r="O51" s="27"/>
      <c r="P51" s="27"/>
      <c r="Q51" s="27"/>
      <c r="R51" s="27"/>
      <c r="S51" s="44" t="str">
        <f>IF('My order'!H2="English","Gloves Kid","Gants Enfant")</f>
        <v>Gloves Kid</v>
      </c>
      <c r="T51" s="127">
        <f>SUMPRODUCT(--('My order'!$B30:$B430="Gloves"),--('My order'!$C30:$C430="Kid"))</f>
        <v>0</v>
      </c>
      <c r="U51" s="127"/>
      <c r="V51" s="27"/>
      <c r="W51" s="62" t="str">
        <f>IF('My order'!H2="English","Total flags","Total drapeaux")</f>
        <v>Total flags</v>
      </c>
      <c r="X51" s="53">
        <f>SUM(X41:X50)</f>
        <v>0</v>
      </c>
      <c r="Y51" s="27"/>
      <c r="Z51" s="146"/>
      <c r="AA51" s="146"/>
      <c r="AB51" s="146"/>
      <c r="AC51" s="146"/>
      <c r="AD51" s="146"/>
      <c r="AE51" s="146"/>
      <c r="AF51" s="146"/>
      <c r="AG51" s="146"/>
      <c r="AH51" s="146"/>
      <c r="AI51" s="146"/>
      <c r="AJ51" s="146"/>
      <c r="AK51" s="146"/>
      <c r="AL51" s="146"/>
      <c r="AM51" s="146"/>
      <c r="AN51" s="146"/>
      <c r="AO51" s="146"/>
      <c r="AP51" s="146"/>
    </row>
    <row r="52" spans="1:42" ht="12.75">
      <c r="A52" s="27"/>
      <c r="B52" s="129" t="s">
        <v>45</v>
      </c>
      <c r="C52" s="129"/>
      <c r="D52" s="129"/>
      <c r="E52" s="129"/>
      <c r="F52" s="129"/>
      <c r="G52" s="129"/>
      <c r="H52" s="129"/>
      <c r="I52" s="129"/>
      <c r="J52" s="129"/>
      <c r="K52" s="129"/>
      <c r="L52" s="27"/>
      <c r="M52" s="27"/>
      <c r="N52" s="27"/>
      <c r="O52" s="27"/>
      <c r="P52" s="27"/>
      <c r="Q52" s="27"/>
      <c r="R52" s="27"/>
      <c r="S52" s="62" t="str">
        <f>IF('My order'!H2="English","Total Gloves","Total Gants")</f>
        <v>Total Gloves</v>
      </c>
      <c r="T52" s="133">
        <f>SUM(T50:U51)</f>
        <v>0</v>
      </c>
      <c r="U52" s="133"/>
      <c r="V52" s="27"/>
      <c r="W52" s="27"/>
      <c r="X52" s="27"/>
      <c r="Y52" s="27"/>
      <c r="Z52" s="146"/>
      <c r="AA52" s="146"/>
      <c r="AB52" s="146"/>
      <c r="AC52" s="146"/>
      <c r="AD52" s="146"/>
      <c r="AE52" s="146"/>
      <c r="AF52" s="146"/>
      <c r="AG52" s="146"/>
      <c r="AH52" s="146"/>
      <c r="AI52" s="146"/>
      <c r="AJ52" s="146"/>
      <c r="AK52" s="146"/>
      <c r="AL52" s="146"/>
      <c r="AM52" s="146"/>
      <c r="AN52" s="146"/>
      <c r="AO52" s="146"/>
      <c r="AP52" s="146"/>
    </row>
    <row r="53" spans="1:42" ht="12.75">
      <c r="A53" s="27"/>
      <c r="B53" s="131" t="str">
        <f>IF('My order'!H2="English","Product","Produit")</f>
        <v>Product</v>
      </c>
      <c r="C53" s="132" t="str">
        <f>IF('My order'!H2="English","Quantity","Quantité")</f>
        <v>Quantity</v>
      </c>
      <c r="D53" s="132"/>
      <c r="E53" s="132"/>
      <c r="F53" s="132"/>
      <c r="G53" s="132"/>
      <c r="H53" s="132"/>
      <c r="I53" s="132"/>
      <c r="J53" s="132"/>
      <c r="K53" s="132"/>
      <c r="L53" s="27"/>
      <c r="M53" s="27"/>
      <c r="N53" s="27"/>
      <c r="O53" s="27"/>
      <c r="P53" s="27"/>
      <c r="Q53" s="27"/>
      <c r="R53" s="27"/>
      <c r="S53" s="64" t="str">
        <f>IF('My order'!H2="English","Facemask","Masque barrière")</f>
        <v>Facemask</v>
      </c>
      <c r="T53" s="65">
        <f>SUMPRODUCT(--('My order'!$B30:$B430="Facemask"),--('My order'!$C30:$C430="Adult"))</f>
        <v>0</v>
      </c>
      <c r="U53" s="65">
        <f>SUMPRODUCT(--('My order'!$B30:$B430="Facemask"),--('My order'!$C30:$C430="Kid"))</f>
        <v>0</v>
      </c>
      <c r="V53" s="27"/>
      <c r="W53" s="27"/>
      <c r="X53" s="27"/>
      <c r="Y53" s="27"/>
      <c r="Z53" s="146"/>
      <c r="AA53" s="146"/>
      <c r="AB53" s="146"/>
      <c r="AC53" s="146"/>
      <c r="AD53" s="146"/>
      <c r="AE53" s="146"/>
      <c r="AF53" s="146"/>
      <c r="AG53" s="146"/>
      <c r="AH53" s="146"/>
      <c r="AI53" s="146"/>
      <c r="AJ53" s="146"/>
      <c r="AK53" s="146"/>
      <c r="AL53" s="146"/>
      <c r="AM53" s="146"/>
      <c r="AN53" s="146"/>
      <c r="AO53" s="146"/>
      <c r="AP53" s="146"/>
    </row>
    <row r="54" spans="1:42" ht="12.75">
      <c r="A54" s="27"/>
      <c r="B54" s="131"/>
      <c r="C54" s="59" t="str">
        <f>IF('My order'!H2="English","6 yo","6 ans")</f>
        <v>6 yo</v>
      </c>
      <c r="D54" s="59" t="str">
        <f>IF('My order'!H2="English","8 yo","8 ans")</f>
        <v>8 yo</v>
      </c>
      <c r="E54" s="59" t="s">
        <v>6</v>
      </c>
      <c r="F54" s="59" t="s">
        <v>7</v>
      </c>
      <c r="G54" s="59" t="s">
        <v>8</v>
      </c>
      <c r="H54" s="59" t="s">
        <v>9</v>
      </c>
      <c r="I54" s="59" t="s">
        <v>10</v>
      </c>
      <c r="J54" s="59" t="s">
        <v>11</v>
      </c>
      <c r="K54" s="59" t="s">
        <v>12</v>
      </c>
      <c r="L54" s="27"/>
      <c r="M54" s="27"/>
      <c r="N54" s="27"/>
      <c r="O54" s="27"/>
      <c r="P54" s="27"/>
      <c r="Q54" s="27"/>
      <c r="R54" s="27"/>
      <c r="S54" s="64" t="s">
        <v>46</v>
      </c>
      <c r="T54" s="130">
        <f>SUMPRODUCT(--('My order'!$B30:$B430="Handwarmer"),--('My order'!$C30:$C430="Sublimated"))</f>
        <v>0</v>
      </c>
      <c r="U54" s="130"/>
      <c r="V54" s="27"/>
      <c r="W54" s="27"/>
      <c r="X54" s="27"/>
      <c r="Y54" s="27"/>
      <c r="Z54" s="146"/>
      <c r="AA54" s="146"/>
      <c r="AB54" s="146"/>
      <c r="AC54" s="146"/>
      <c r="AD54" s="146"/>
      <c r="AE54" s="146"/>
      <c r="AF54" s="146"/>
      <c r="AG54" s="146"/>
      <c r="AH54" s="146"/>
      <c r="AI54" s="146"/>
      <c r="AJ54" s="146"/>
      <c r="AK54" s="146"/>
      <c r="AL54" s="146"/>
      <c r="AM54" s="146"/>
      <c r="AN54" s="146"/>
      <c r="AO54" s="146"/>
      <c r="AP54" s="146"/>
    </row>
    <row r="55" spans="1:42" ht="12.75">
      <c r="A55" s="27"/>
      <c r="B55" s="44" t="s">
        <v>47</v>
      </c>
      <c r="C55" s="41">
        <f>SUMPRODUCT(--('My order'!$B30:$B430="Short"),--('My order'!$C30:$C430="Long"),--('My order'!$D30:$D430=6))</f>
        <v>0</v>
      </c>
      <c r="D55" s="41">
        <f>SUMPRODUCT(--('My order'!$B30:$B430="Short"),--('My order'!$C30:$C430="Long"),--('My order'!$D30:$D430=8))</f>
        <v>0</v>
      </c>
      <c r="E55" s="41">
        <f>SUMPRODUCT(--('My order'!$B30:$B430="Short"),--('My order'!$C30:$C430="Long"),--('My order'!$D30:$D430="XS"))</f>
        <v>0</v>
      </c>
      <c r="F55" s="41">
        <f>SUMPRODUCT(--('My order'!$B30:$B430="Short"),--('My order'!$C30:$C430="Long"),--('My order'!$D30:$D430="S"))</f>
        <v>0</v>
      </c>
      <c r="G55" s="41">
        <f>SUMPRODUCT(--('My order'!$B30:$B430="Short"),--('My order'!$C30:$C430="Long"),--('My order'!$D30:$D430="M"))</f>
        <v>0</v>
      </c>
      <c r="H55" s="41">
        <f>SUMPRODUCT(--('My order'!$B30:$B430="Short"),--('My order'!$C30:$C430="Long"),--('My order'!$D30:$D430="L"))</f>
        <v>0</v>
      </c>
      <c r="I55" s="66">
        <f>SUMPRODUCT(--('My order'!$B30:$B430="Short"),--('My order'!$C30:$C430="Long"),--('My order'!$D30:$D430="XL"))</f>
        <v>0</v>
      </c>
      <c r="J55" s="66">
        <f>SUMPRODUCT(--('My order'!$B30:$B430="Short"),--('My order'!$C30:$C430="Long"),--('My order'!$D30:$D430="XXL"))</f>
        <v>0</v>
      </c>
      <c r="K55" s="67">
        <f>SUMPRODUCT(--('My order'!$B30:$B430="Short"),--('My order'!$C30:$C430="Long"),--('My order'!$D30:$D430="XXXL"))</f>
        <v>0</v>
      </c>
      <c r="L55" s="27"/>
      <c r="M55" s="27"/>
      <c r="N55" s="27"/>
      <c r="O55" s="27"/>
      <c r="P55" s="27"/>
      <c r="Q55" s="27"/>
      <c r="R55" s="27"/>
      <c r="S55" s="44" t="str">
        <f>IF('My order'!H2="English","Headband","Bandeau")</f>
        <v>Headband</v>
      </c>
      <c r="T55" s="127">
        <f>SUMPRODUCT(--('My order'!$B30:$B430="Headband"),--('My order'!$C30:$C430="Sublimated"))</f>
        <v>0</v>
      </c>
      <c r="U55" s="127"/>
      <c r="V55" s="27"/>
      <c r="W55" s="27"/>
      <c r="X55" s="27"/>
      <c r="Y55" s="27"/>
      <c r="Z55" s="146"/>
      <c r="AA55" s="146"/>
      <c r="AB55" s="146"/>
      <c r="AC55" s="146"/>
      <c r="AD55" s="146"/>
      <c r="AE55" s="146"/>
      <c r="AF55" s="146"/>
      <c r="AG55" s="146"/>
      <c r="AH55" s="146"/>
      <c r="AI55" s="146"/>
      <c r="AJ55" s="146"/>
      <c r="AK55" s="146"/>
      <c r="AL55" s="146"/>
      <c r="AM55" s="146"/>
      <c r="AN55" s="146"/>
      <c r="AO55" s="146"/>
      <c r="AP55" s="146"/>
    </row>
    <row r="56" spans="1:42" ht="12.75">
      <c r="A56" s="27"/>
      <c r="B56" s="44" t="s">
        <v>48</v>
      </c>
      <c r="C56" s="61">
        <f>SUMPRODUCT(--('My order'!$B30:$B430="Short"),--('My order'!$C30:$C430="Multisport"),--('My order'!$D30:$D430=6))</f>
        <v>0</v>
      </c>
      <c r="D56" s="61">
        <f>SUMPRODUCT(--('My order'!$B30:$B430="Short"),--('My order'!$C30:$C430="Multisport"),--('My order'!$D30:$D430=8))</f>
        <v>0</v>
      </c>
      <c r="E56" s="61">
        <f>SUMPRODUCT(--('My order'!$B30:$B430="Short"),--('My order'!$C30:$C430="Multisport"),--('My order'!$D30:$D430="XS"))</f>
        <v>0</v>
      </c>
      <c r="F56" s="61">
        <f>SUMPRODUCT(--('My order'!$B30:$B430="Short"),--('My order'!$C30:$C430="Multisport"),--('My order'!$D30:$D430="S"))</f>
        <v>0</v>
      </c>
      <c r="G56" s="61">
        <f>SUMPRODUCT(--('My order'!$B30:$B430="Short"),--('My order'!$C30:$C430="Multisport"),--('My order'!$D30:$D430="M"))</f>
        <v>0</v>
      </c>
      <c r="H56" s="61">
        <f>SUMPRODUCT(--('My order'!$B30:$B430="Short"),--('My order'!$C30:$C430="Multisport"),--('My order'!$D30:$D430="L"))</f>
        <v>0</v>
      </c>
      <c r="I56" s="68">
        <f>SUMPRODUCT(--('My order'!$B30:$B430="Short"),--('My order'!$C30:$C430="Multisport"),--('My order'!$D30:$D430="XL"))</f>
        <v>0</v>
      </c>
      <c r="J56" s="68">
        <f>SUMPRODUCT(--('My order'!$B30:$B430="Short"),--('My order'!$C30:$C430="Multisport"),--('My order'!$D30:$D430="XXL"))</f>
        <v>0</v>
      </c>
      <c r="K56" s="69">
        <f>SUMPRODUCT(--('My order'!$B30:$B430="Short"),--('My order'!$C30:$C430="Multisport"),--('My order'!$D30:$D430="XXXL"))</f>
        <v>0</v>
      </c>
      <c r="L56" s="27"/>
      <c r="M56" s="27"/>
      <c r="N56" s="27"/>
      <c r="O56" s="27"/>
      <c r="P56" s="27"/>
      <c r="Q56" s="27"/>
      <c r="R56" s="27"/>
      <c r="S56" s="44" t="str">
        <f>IF('My order'!H2="English","Wristband","Bracelet")</f>
        <v>Wristband</v>
      </c>
      <c r="T56" s="127">
        <f>SUMPRODUCT(--('My order'!$B30:$B430="Wristband"),--('My order'!$C30:$C430="Sublimated"))</f>
        <v>0</v>
      </c>
      <c r="U56" s="127"/>
      <c r="V56" s="27"/>
      <c r="W56" s="27"/>
      <c r="X56" s="27"/>
      <c r="Y56" s="27"/>
      <c r="Z56" s="146"/>
      <c r="AA56" s="146"/>
      <c r="AB56" s="146"/>
      <c r="AC56" s="146"/>
      <c r="AD56" s="146"/>
      <c r="AE56" s="146"/>
      <c r="AF56" s="146"/>
      <c r="AG56" s="146"/>
      <c r="AH56" s="146"/>
      <c r="AI56" s="146"/>
      <c r="AJ56" s="146"/>
      <c r="AK56" s="146"/>
      <c r="AL56" s="146"/>
      <c r="AM56" s="146"/>
      <c r="AN56" s="146"/>
      <c r="AO56" s="146"/>
      <c r="AP56" s="146"/>
    </row>
    <row r="57" spans="1:42" ht="12.75">
      <c r="A57" s="27"/>
      <c r="B57" s="44" t="s">
        <v>50</v>
      </c>
      <c r="C57" s="128"/>
      <c r="D57" s="128"/>
      <c r="E57" s="128"/>
      <c r="F57" s="61">
        <f>SUMPRODUCT(--('My order'!$B30:$B430="Short"),--('My order'!$C30:$C430="Woman"),--('My order'!$D30:$D430="S"))</f>
        <v>0</v>
      </c>
      <c r="G57" s="61">
        <f>SUMPRODUCT(--('My order'!$B30:$B430="Short"),--('My order'!$C30:$C430="Woman"),--('My order'!$D30:$D430="M"))</f>
        <v>0</v>
      </c>
      <c r="H57" s="61">
        <f>SUMPRODUCT(--('My order'!$B30:$B430="Short"),--('My order'!$C30:$C430="Woman"),--('My order'!$D30:$D430="L"))</f>
        <v>0</v>
      </c>
      <c r="I57" s="68">
        <f>SUMPRODUCT(--('My order'!$B30:$B430="Short"),--('My order'!$C30:$C430="Woman"),--('My order'!$D30:$D430="XL"))</f>
        <v>0</v>
      </c>
      <c r="J57" s="68">
        <f>SUMPRODUCT(--('My order'!$B30:$B430="Short"),--('My order'!$C30:$C430="Woman"),--('My order'!$D30:$D430="XXL"))</f>
        <v>0</v>
      </c>
      <c r="K57" s="70"/>
      <c r="L57" s="27"/>
      <c r="M57" s="27"/>
      <c r="N57" s="27"/>
      <c r="O57" s="27"/>
      <c r="P57" s="27"/>
      <c r="Q57" s="27"/>
      <c r="R57" s="27"/>
      <c r="S57" s="44" t="str">
        <f>IF('My order'!H2="English","Snood","Cache-cou")</f>
        <v>Snood</v>
      </c>
      <c r="T57" s="127">
        <f>SUMPRODUCT(--('My order'!$B30:$B430="Snood"),--('My order'!$C30:$C430="Sublimated"))</f>
        <v>0</v>
      </c>
      <c r="U57" s="127"/>
      <c r="V57" s="27"/>
      <c r="W57" s="27"/>
      <c r="X57" s="27"/>
      <c r="Y57" s="27"/>
      <c r="Z57" s="146"/>
      <c r="AA57" s="146"/>
      <c r="AB57" s="146"/>
      <c r="AC57" s="146"/>
      <c r="AD57" s="146"/>
      <c r="AE57" s="146"/>
      <c r="AF57" s="146"/>
      <c r="AG57" s="146"/>
      <c r="AH57" s="146"/>
      <c r="AI57" s="146"/>
      <c r="AJ57" s="146"/>
      <c r="AK57" s="146"/>
      <c r="AL57" s="146"/>
      <c r="AM57" s="146"/>
      <c r="AN57" s="146"/>
      <c r="AO57" s="146"/>
      <c r="AP57" s="146"/>
    </row>
    <row r="58" spans="1:42" ht="12.75">
      <c r="A58" s="27"/>
      <c r="B58" s="71" t="s">
        <v>52</v>
      </c>
      <c r="C58" s="72"/>
      <c r="D58" s="73"/>
      <c r="E58" s="74"/>
      <c r="F58" s="61">
        <f>SUMPRODUCT(--('My order'!$B30:$B430="Short"),--('My order'!$C30:$C430="Beach_Woman"),--('My order'!$D30:$D430="S"))</f>
        <v>0</v>
      </c>
      <c r="G58" s="61">
        <f>SUMPRODUCT(--('My order'!$B30:$B430="Short"),--('My order'!$C30:$C430="Beach_Woman"),--('My order'!$D30:$D430="M"))</f>
        <v>0</v>
      </c>
      <c r="H58" s="61">
        <f>SUMPRODUCT(--('My order'!$B30:$B430="Short"),--('My order'!$C30:$C430="Beach_Woman"),--('My order'!$D30:$D430="L"))</f>
        <v>0</v>
      </c>
      <c r="I58" s="68">
        <f>SUMPRODUCT(--('My order'!$B30:$B430="Short"),--('My order'!$C30:$C430="Beach_Woman"),--('My order'!$D30:$D430="XL"))</f>
        <v>0</v>
      </c>
      <c r="J58" s="68">
        <f>SUMPRODUCT(--('My order'!$B30:$B430="Short"),--('My order'!$C30:$C430="Beach_Woman"),--('My order'!$D30:$D430="XXL"))</f>
        <v>0</v>
      </c>
      <c r="K58" s="70"/>
      <c r="L58" s="27"/>
      <c r="M58" s="27"/>
      <c r="N58" s="27"/>
      <c r="O58" s="27"/>
      <c r="P58" s="27"/>
      <c r="Q58" s="27"/>
      <c r="R58" s="27"/>
      <c r="S58" s="44" t="s">
        <v>49</v>
      </c>
      <c r="T58" s="127">
        <f>SUMPRODUCT(--('My order'!$B30:$B430="Thermal_Warmer"),--('My order'!$C30:$C430="Sublimated"))</f>
        <v>0</v>
      </c>
      <c r="U58" s="127"/>
      <c r="V58" s="27"/>
      <c r="W58" s="27"/>
      <c r="X58" s="27"/>
      <c r="Y58" s="27"/>
      <c r="Z58" s="146"/>
      <c r="AA58" s="146"/>
      <c r="AB58" s="146"/>
      <c r="AC58" s="146"/>
      <c r="AD58" s="146"/>
      <c r="AE58" s="146"/>
      <c r="AF58" s="146"/>
      <c r="AG58" s="146"/>
      <c r="AH58" s="146"/>
      <c r="AI58" s="146"/>
      <c r="AJ58" s="146"/>
      <c r="AK58" s="146"/>
      <c r="AL58" s="146"/>
      <c r="AM58" s="146"/>
      <c r="AN58" s="146"/>
      <c r="AO58" s="146"/>
      <c r="AP58" s="146"/>
    </row>
    <row r="59" spans="1:42" ht="12.75">
      <c r="A59" s="27"/>
      <c r="B59" s="71" t="s">
        <v>54</v>
      </c>
      <c r="C59" s="72"/>
      <c r="D59" s="73"/>
      <c r="E59" s="74"/>
      <c r="F59" s="61">
        <f>SUMPRODUCT(--('My order'!$B30:$B430="Short"),--('My order'!$C30:$C430="Tight_Woman"),--('My order'!$D30:$D430="S"))</f>
        <v>0</v>
      </c>
      <c r="G59" s="61">
        <f>SUMPRODUCT(--('My order'!$B30:$B430="Short"),--('My order'!$C30:$C430="Tight_Woman"),--('My order'!$D30:$D430="M"))</f>
        <v>0</v>
      </c>
      <c r="H59" s="61">
        <f>SUMPRODUCT(--('My order'!$B30:$B430="Short"),--('My order'!$C30:$C430="Tight_Woman"),--('My order'!$D30:$D430="L"))</f>
        <v>0</v>
      </c>
      <c r="I59" s="68">
        <f>SUMPRODUCT(--('My order'!$B30:$B430="Short"),--('My order'!$C30:$C430="Tight_Woman"),--('My order'!$D30:$D430="XL"))</f>
        <v>0</v>
      </c>
      <c r="J59" s="68">
        <f>SUMPRODUCT(--('My order'!$B30:$B430="Short"),--('My order'!$C30:$C430="Tight_Woman"),--('My order'!$D30:$D430="XXL"))</f>
        <v>0</v>
      </c>
      <c r="K59" s="70"/>
      <c r="L59" s="27"/>
      <c r="M59" s="27"/>
      <c r="N59" s="27"/>
      <c r="O59" s="27"/>
      <c r="P59" s="27"/>
      <c r="Q59" s="27"/>
      <c r="R59" s="27"/>
      <c r="S59" s="44" t="s">
        <v>51</v>
      </c>
      <c r="T59" s="127">
        <f>SUMPRODUCT(--('My order'!$B30:$B430="Towel"),--('My order'!$C30:$C430="Sublimated"))</f>
        <v>0</v>
      </c>
      <c r="U59" s="127"/>
      <c r="V59" s="27"/>
      <c r="W59" s="27"/>
      <c r="X59" s="27"/>
      <c r="Y59" s="27"/>
      <c r="Z59" s="146"/>
      <c r="AA59" s="146"/>
      <c r="AB59" s="146"/>
      <c r="AC59" s="146"/>
      <c r="AD59" s="146"/>
      <c r="AE59" s="146"/>
      <c r="AF59" s="146"/>
      <c r="AG59" s="146"/>
      <c r="AH59" s="146"/>
      <c r="AI59" s="146"/>
      <c r="AJ59" s="146"/>
      <c r="AK59" s="146"/>
      <c r="AL59" s="146"/>
      <c r="AM59" s="146"/>
      <c r="AN59" s="146"/>
      <c r="AO59" s="146"/>
      <c r="AP59" s="146"/>
    </row>
    <row r="60" spans="1:42" ht="12.75">
      <c r="A60" s="27"/>
      <c r="B60" s="71" t="s">
        <v>55</v>
      </c>
      <c r="C60" s="72"/>
      <c r="D60" s="73"/>
      <c r="E60" s="74"/>
      <c r="F60" s="61">
        <f>SUMPRODUCT(--('My order'!$B30:$B430="Skirt"),--('My order'!$C30:$C430="Woman"),--('My order'!$D30:$D430="S"))</f>
        <v>0</v>
      </c>
      <c r="G60" s="61">
        <f>SUMPRODUCT(--('My order'!$B30:$B430="Skirt"),--('My order'!$C30:$C430="Woman"),--('My order'!$D30:$D430="M"))</f>
        <v>0</v>
      </c>
      <c r="H60" s="61">
        <f>SUMPRODUCT(--('My order'!$B30:$B430="Skirt"),--('My order'!$C30:$C430="Woman"),--('My order'!$D30:$D430="L"))</f>
        <v>0</v>
      </c>
      <c r="I60" s="68">
        <f>SUMPRODUCT(--('My order'!$B30:$B430="Skirt"),--('My order'!$C30:$C430="Woman"),--('My order'!$D30:$D430="XL"))</f>
        <v>0</v>
      </c>
      <c r="J60" s="68">
        <f>SUMPRODUCT(--('My order'!$B30:$B430="Skirt"),--('My order'!$C30:$C430="Woman"),--('My order'!$D30:$D430="XXL"))</f>
        <v>0</v>
      </c>
      <c r="K60" s="70"/>
      <c r="L60" s="27"/>
      <c r="M60" s="27"/>
      <c r="N60" s="27"/>
      <c r="O60" s="27"/>
      <c r="P60" s="27"/>
      <c r="Q60" s="27"/>
      <c r="R60" s="27"/>
      <c r="S60" s="44" t="s">
        <v>53</v>
      </c>
      <c r="T60" s="127">
        <f>SUMPRODUCT(--('My order'!$B30:$B430="Kuxin"),--('My order'!$C30:$C430="Sublimated"))</f>
        <v>0</v>
      </c>
      <c r="U60" s="127"/>
      <c r="V60" s="27"/>
      <c r="W60" s="27"/>
      <c r="X60" s="27"/>
      <c r="Y60" s="27"/>
      <c r="Z60" s="146"/>
      <c r="AA60" s="146"/>
      <c r="AB60" s="146"/>
      <c r="AC60" s="146"/>
      <c r="AD60" s="146"/>
      <c r="AE60" s="146"/>
      <c r="AF60" s="146"/>
      <c r="AG60" s="146"/>
      <c r="AH60" s="146"/>
      <c r="AI60" s="146"/>
      <c r="AJ60" s="146"/>
      <c r="AK60" s="146"/>
      <c r="AL60" s="146"/>
      <c r="AM60" s="146"/>
      <c r="AN60" s="146"/>
      <c r="AO60" s="146"/>
      <c r="AP60" s="146"/>
    </row>
    <row r="61" spans="2:42" ht="12.75">
      <c r="B61" s="62" t="s">
        <v>56</v>
      </c>
      <c r="C61" s="133">
        <f>SUM(C55:K60)</f>
        <v>0</v>
      </c>
      <c r="D61" s="133"/>
      <c r="E61" s="133"/>
      <c r="F61" s="133"/>
      <c r="G61" s="133"/>
      <c r="H61" s="133"/>
      <c r="I61" s="133"/>
      <c r="J61" s="133"/>
      <c r="K61" s="133"/>
      <c r="L61" s="27"/>
      <c r="M61" s="27"/>
      <c r="N61" s="27"/>
      <c r="O61" s="27"/>
      <c r="P61" s="27"/>
      <c r="Q61" s="27"/>
      <c r="R61" s="27"/>
      <c r="S61" s="44" t="str">
        <f>IF('My order'!H2="English","Drawstring bag","Sac à cordons")</f>
        <v>Drawstring bag</v>
      </c>
      <c r="T61" s="127">
        <f>SUMPRODUCT(--('My order'!$B30:$B430="Drawstring_Bag"),--('My order'!$C30:$C430="Sublimated"))</f>
        <v>0</v>
      </c>
      <c r="U61" s="127"/>
      <c r="V61" s="27"/>
      <c r="W61" s="27"/>
      <c r="X61" s="27"/>
      <c r="Z61" s="146"/>
      <c r="AA61" s="146"/>
      <c r="AB61" s="146"/>
      <c r="AC61" s="146"/>
      <c r="AD61" s="146"/>
      <c r="AE61" s="146"/>
      <c r="AF61" s="146"/>
      <c r="AG61" s="146"/>
      <c r="AH61" s="146"/>
      <c r="AI61" s="146"/>
      <c r="AJ61" s="146"/>
      <c r="AK61" s="146"/>
      <c r="AL61" s="146"/>
      <c r="AM61" s="146"/>
      <c r="AN61" s="146"/>
      <c r="AO61" s="146"/>
      <c r="AP61" s="146"/>
    </row>
    <row r="62" spans="2:24" ht="12.75">
      <c r="B62" s="76"/>
      <c r="C62" s="54"/>
      <c r="D62" s="54"/>
      <c r="E62" s="54"/>
      <c r="F62" s="54"/>
      <c r="G62" s="54"/>
      <c r="H62" s="54"/>
      <c r="I62" s="54"/>
      <c r="J62" s="54"/>
      <c r="K62" s="27"/>
      <c r="L62" s="27"/>
      <c r="M62" s="27"/>
      <c r="N62" s="27"/>
      <c r="O62" s="27"/>
      <c r="P62" s="27"/>
      <c r="Q62" s="27"/>
      <c r="R62" s="27"/>
      <c r="S62" s="62" t="str">
        <f>IF('My order'!H2="English","Total items","Total objets")</f>
        <v>Total items</v>
      </c>
      <c r="T62" s="133">
        <f>SUM(T53:T61)+U53</f>
        <v>0</v>
      </c>
      <c r="U62" s="133"/>
      <c r="V62" s="27"/>
      <c r="W62" s="27"/>
      <c r="X62" s="27"/>
    </row>
    <row r="63" spans="2:24" ht="12.75">
      <c r="B63" s="140" t="s">
        <v>372</v>
      </c>
      <c r="C63" s="141"/>
      <c r="D63" s="141"/>
      <c r="E63" s="141"/>
      <c r="F63" s="141"/>
      <c r="G63" s="141"/>
      <c r="H63" s="141"/>
      <c r="I63" s="141"/>
      <c r="J63" s="142"/>
      <c r="K63" s="94"/>
      <c r="S63" s="75" t="str">
        <f>IF('My order'!H2="English","Total Accessories","Total Accessoires")</f>
        <v>Total Accessories</v>
      </c>
      <c r="T63" s="125">
        <f>SUM(T45+T49+T52+T62)</f>
        <v>0</v>
      </c>
      <c r="U63" s="125"/>
      <c r="W63" s="27"/>
      <c r="X63" s="27"/>
    </row>
    <row r="64" spans="2:21" ht="12.75">
      <c r="B64" s="131" t="str">
        <f>IF('My order'!H13="English","Product","Produit")</f>
        <v>Produit</v>
      </c>
      <c r="C64" s="143" t="str">
        <f>IF('My order'!H2="English","Quantity","Quantité")</f>
        <v>Quantity</v>
      </c>
      <c r="D64" s="144"/>
      <c r="E64" s="144"/>
      <c r="F64" s="144"/>
      <c r="G64" s="144"/>
      <c r="H64" s="144"/>
      <c r="I64" s="144"/>
      <c r="J64" s="145"/>
      <c r="K64" s="95"/>
      <c r="S64" s="126"/>
      <c r="T64" s="126"/>
      <c r="U64" s="126"/>
    </row>
    <row r="65" spans="2:21" ht="12.75">
      <c r="B65" s="131"/>
      <c r="C65" s="59" t="s">
        <v>374</v>
      </c>
      <c r="D65" s="59" t="s">
        <v>6</v>
      </c>
      <c r="E65" s="59" t="s">
        <v>7</v>
      </c>
      <c r="F65" s="59" t="s">
        <v>8</v>
      </c>
      <c r="G65" s="59" t="s">
        <v>9</v>
      </c>
      <c r="H65" s="59" t="s">
        <v>10</v>
      </c>
      <c r="I65" s="59" t="s">
        <v>11</v>
      </c>
      <c r="J65" s="92" t="s">
        <v>12</v>
      </c>
      <c r="K65" s="96"/>
      <c r="S65" s="126"/>
      <c r="T65" s="126"/>
      <c r="U65" s="126"/>
    </row>
    <row r="66" spans="2:21" ht="12.75">
      <c r="B66" s="44" t="str">
        <f>IF('My order'!H2="English","Sports bra","Brassière")</f>
        <v>Sports bra</v>
      </c>
      <c r="C66" s="41">
        <f>SUMPRODUCT(--('My order'!$B30:$B430="Bra"),--('My order'!$D30:$D430="XXS"))</f>
        <v>0</v>
      </c>
      <c r="D66" s="41">
        <f>SUMPRODUCT(--('My order'!$B30:$B430="Bra"),--('My order'!$D30:$D430="XS"))</f>
        <v>0</v>
      </c>
      <c r="E66" s="41">
        <f>SUMPRODUCT(--('My order'!$B30:$B430="Bra"),--('My order'!$D30:$D430="S"))</f>
        <v>0</v>
      </c>
      <c r="F66" s="41">
        <f>SUMPRODUCT(--('My order'!$B30:$B430="Bra"),--('My order'!$D30:$D430="M"))</f>
        <v>0</v>
      </c>
      <c r="G66" s="41">
        <f>SUMPRODUCT(--('My order'!$B30:$B430="Bra"),--('My order'!$D30:$D430="L"))</f>
        <v>0</v>
      </c>
      <c r="H66" s="41">
        <f>SUMPRODUCT(--('My order'!$B30:$B430="Bra"),--('My order'!$D30:$D430="XL"))</f>
        <v>0</v>
      </c>
      <c r="I66" s="66">
        <f>SUMPRODUCT(--('My order'!$B30:$B430="Bra"),--('My order'!$D30:$D430="XXL"))</f>
        <v>0</v>
      </c>
      <c r="J66" s="93">
        <f>SUMPRODUCT(--('My order'!$B30:$B430="Bra"),--('My order'!$D30:$D430="XXXL"))</f>
        <v>0</v>
      </c>
      <c r="K66" s="97"/>
      <c r="S66" s="27"/>
      <c r="T66" s="27"/>
      <c r="U66" s="27"/>
    </row>
    <row r="67" spans="2:21" ht="12.75">
      <c r="B67" s="62" t="s">
        <v>375</v>
      </c>
      <c r="C67" s="137">
        <f>SUM(C66:J66)</f>
        <v>0</v>
      </c>
      <c r="D67" s="138"/>
      <c r="E67" s="138"/>
      <c r="F67" s="138"/>
      <c r="G67" s="138"/>
      <c r="H67" s="138"/>
      <c r="I67" s="138"/>
      <c r="J67" s="139"/>
      <c r="K67" s="98"/>
      <c r="S67" s="27"/>
      <c r="T67" s="27"/>
      <c r="U67" s="27"/>
    </row>
  </sheetData>
  <sheetProtection selectLockedCells="1" selectUnlockedCells="1"/>
  <mergeCells count="50">
    <mergeCell ref="C67:J67"/>
    <mergeCell ref="B64:B65"/>
    <mergeCell ref="B63:J63"/>
    <mergeCell ref="C64:J64"/>
    <mergeCell ref="B1:N4"/>
    <mergeCell ref="Z1:AP61"/>
    <mergeCell ref="B8:I8"/>
    <mergeCell ref="K8:Q8"/>
    <mergeCell ref="S8:V8"/>
    <mergeCell ref="B9:B10"/>
    <mergeCell ref="M41:Q41"/>
    <mergeCell ref="C9:I9"/>
    <mergeCell ref="K9:K10"/>
    <mergeCell ref="M9:Q9"/>
    <mergeCell ref="S9:S10"/>
    <mergeCell ref="T9:V9"/>
    <mergeCell ref="L31:Q31"/>
    <mergeCell ref="C49:I49"/>
    <mergeCell ref="L49:Q49"/>
    <mergeCell ref="C38:I38"/>
    <mergeCell ref="L38:Q38"/>
    <mergeCell ref="T38:V38"/>
    <mergeCell ref="B40:I40"/>
    <mergeCell ref="K40:Q40"/>
    <mergeCell ref="B41:B42"/>
    <mergeCell ref="C41:I41"/>
    <mergeCell ref="K41:K42"/>
    <mergeCell ref="T45:U45"/>
    <mergeCell ref="T48:U48"/>
    <mergeCell ref="T46:U46"/>
    <mergeCell ref="T49:U49"/>
    <mergeCell ref="T50:U50"/>
    <mergeCell ref="T51:U51"/>
    <mergeCell ref="B52:K52"/>
    <mergeCell ref="T54:U54"/>
    <mergeCell ref="B53:B54"/>
    <mergeCell ref="C53:K53"/>
    <mergeCell ref="T62:U62"/>
    <mergeCell ref="C61:K61"/>
    <mergeCell ref="T55:U55"/>
    <mergeCell ref="T56:U56"/>
    <mergeCell ref="T52:U52"/>
    <mergeCell ref="T63:U63"/>
    <mergeCell ref="S64:U65"/>
    <mergeCell ref="T57:U57"/>
    <mergeCell ref="T58:U58"/>
    <mergeCell ref="C57:E57"/>
    <mergeCell ref="T59:U59"/>
    <mergeCell ref="T60:U60"/>
    <mergeCell ref="T61:U61"/>
  </mergeCells>
  <dataValidations count="4">
    <dataValidation allowBlank="1" showErrorMessage="1" sqref="B37 K37">
      <formula1>0</formula1>
      <formula2>0</formula2>
    </dataValidation>
    <dataValidation type="list" allowBlank="1" showInputMessage="1" showErrorMessage="1" prompt="Sélectionnez le type de produit" sqref="A43">
      <formula1>$B$281:$B$287</formula1>
      <formula2>0</formula2>
    </dataValidation>
    <dataValidation type="list" allowBlank="1" showErrorMessage="1" sqref="B48 K48">
      <formula1>INDIRECT($B48)</formula1>
      <formula2>0</formula2>
    </dataValidation>
    <dataValidation type="list" allowBlank="1" showErrorMessage="1" sqref="S37">
      <formula1>INDIRECT($B48)</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tabColor indexed="62"/>
  </sheetPr>
  <dimension ref="A1:N240"/>
  <sheetViews>
    <sheetView zoomScale="66" zoomScaleNormal="66" zoomScalePageLayoutView="0" workbookViewId="0" topLeftCell="A1">
      <selection activeCell="F33" sqref="F33"/>
    </sheetView>
  </sheetViews>
  <sheetFormatPr defaultColWidth="11.421875" defaultRowHeight="12.75"/>
  <cols>
    <col min="1" max="1" width="35.00390625" style="0" customWidth="1"/>
    <col min="2" max="2" width="13.421875" style="0" customWidth="1"/>
    <col min="3" max="3" width="16.140625" style="0" customWidth="1"/>
    <col min="4" max="4" width="15.7109375" style="0" customWidth="1"/>
    <col min="5" max="5" width="12.28125" style="0" customWidth="1"/>
  </cols>
  <sheetData>
    <row r="1" spans="1:5" ht="12.75">
      <c r="A1" s="19" t="s">
        <v>57</v>
      </c>
      <c r="B1" s="19" t="s">
        <v>58</v>
      </c>
      <c r="C1" t="s">
        <v>59</v>
      </c>
      <c r="D1" t="s">
        <v>60</v>
      </c>
      <c r="E1" s="19" t="s">
        <v>61</v>
      </c>
    </row>
    <row r="2" spans="2:14" ht="16.5">
      <c r="B2" s="16" t="s">
        <v>62</v>
      </c>
      <c r="C2" s="16" t="s">
        <v>63</v>
      </c>
      <c r="D2" s="16" t="s">
        <v>62</v>
      </c>
      <c r="E2" s="16" t="s">
        <v>62</v>
      </c>
      <c r="F2" s="16" t="s">
        <v>31</v>
      </c>
      <c r="L2" t="s">
        <v>64</v>
      </c>
      <c r="N2" s="2" t="s">
        <v>65</v>
      </c>
    </row>
    <row r="3" spans="1:12" ht="12.75">
      <c r="A3" s="77" t="s">
        <v>66</v>
      </c>
      <c r="B3" s="16" t="s">
        <v>67</v>
      </c>
      <c r="C3" s="16" t="s">
        <v>68</v>
      </c>
      <c r="D3" s="16" t="s">
        <v>67</v>
      </c>
      <c r="E3" s="16" t="s">
        <v>67</v>
      </c>
      <c r="L3" t="s">
        <v>69</v>
      </c>
    </row>
    <row r="4" spans="1:12" ht="12.75">
      <c r="A4" s="77" t="s">
        <v>13</v>
      </c>
      <c r="B4" s="16" t="s">
        <v>70</v>
      </c>
      <c r="C4" s="16" t="s">
        <v>67</v>
      </c>
      <c r="L4" t="s">
        <v>71</v>
      </c>
    </row>
    <row r="5" spans="1:12" ht="12.75">
      <c r="A5" s="77" t="s">
        <v>14</v>
      </c>
      <c r="B5" s="16"/>
      <c r="C5" s="16" t="s">
        <v>72</v>
      </c>
      <c r="L5" t="s">
        <v>73</v>
      </c>
    </row>
    <row r="6" spans="1:12" ht="12.75">
      <c r="A6" s="77" t="s">
        <v>76</v>
      </c>
      <c r="B6" s="16"/>
      <c r="C6" s="16" t="s">
        <v>74</v>
      </c>
      <c r="L6" t="s">
        <v>75</v>
      </c>
    </row>
    <row r="7" spans="1:12" ht="12.75">
      <c r="A7" s="77" t="s">
        <v>362</v>
      </c>
      <c r="B7" s="16"/>
      <c r="L7" t="s">
        <v>77</v>
      </c>
    </row>
    <row r="8" spans="1:12" ht="12.75">
      <c r="A8" s="77" t="s">
        <v>78</v>
      </c>
      <c r="B8" s="16"/>
      <c r="C8" s="16"/>
      <c r="L8" t="s">
        <v>79</v>
      </c>
    </row>
    <row r="9" spans="1:12" ht="12.75">
      <c r="A9" s="77" t="s">
        <v>357</v>
      </c>
      <c r="B9" s="16"/>
      <c r="C9" s="16"/>
      <c r="L9" t="s">
        <v>80</v>
      </c>
    </row>
    <row r="10" spans="1:12" ht="12.75">
      <c r="A10" s="77" t="s">
        <v>81</v>
      </c>
      <c r="B10" s="16"/>
      <c r="C10" s="16"/>
      <c r="D10" s="16"/>
      <c r="L10" t="s">
        <v>82</v>
      </c>
    </row>
    <row r="11" spans="1:12" ht="12.75">
      <c r="A11" s="77" t="s">
        <v>83</v>
      </c>
      <c r="B11" s="16"/>
      <c r="C11" s="16"/>
      <c r="D11" s="16"/>
      <c r="L11" t="s">
        <v>84</v>
      </c>
    </row>
    <row r="12" spans="1:12" ht="12.75">
      <c r="A12" s="77" t="s">
        <v>19</v>
      </c>
      <c r="B12" s="19" t="s">
        <v>85</v>
      </c>
      <c r="C12" s="19" t="s">
        <v>86</v>
      </c>
      <c r="D12" s="19" t="s">
        <v>87</v>
      </c>
      <c r="E12" s="19" t="s">
        <v>360</v>
      </c>
      <c r="F12" s="19" t="s">
        <v>369</v>
      </c>
      <c r="L12" t="s">
        <v>88</v>
      </c>
    </row>
    <row r="13" spans="1:12" ht="12.75">
      <c r="A13" s="77" t="s">
        <v>89</v>
      </c>
      <c r="B13" s="16" t="s">
        <v>367</v>
      </c>
      <c r="C13" s="16" t="s">
        <v>91</v>
      </c>
      <c r="D13" s="16" t="s">
        <v>91</v>
      </c>
      <c r="E13" s="16" t="s">
        <v>361</v>
      </c>
      <c r="F13" s="16" t="s">
        <v>370</v>
      </c>
      <c r="L13" t="s">
        <v>92</v>
      </c>
    </row>
    <row r="14" spans="1:12" ht="12.75">
      <c r="A14" s="77" t="s">
        <v>21</v>
      </c>
      <c r="B14" s="16" t="s">
        <v>90</v>
      </c>
      <c r="C14" s="16"/>
      <c r="D14" s="16"/>
      <c r="E14" s="16" t="s">
        <v>70</v>
      </c>
      <c r="F14" s="16" t="s">
        <v>371</v>
      </c>
      <c r="L14" t="s">
        <v>94</v>
      </c>
    </row>
    <row r="15" spans="1:12" ht="12.75">
      <c r="A15" s="77" t="s">
        <v>22</v>
      </c>
      <c r="B15" s="16" t="s">
        <v>93</v>
      </c>
      <c r="C15" s="16"/>
      <c r="D15" s="16"/>
      <c r="L15" t="s">
        <v>95</v>
      </c>
    </row>
    <row r="16" spans="1:12" ht="12.75">
      <c r="A16" s="77" t="s">
        <v>96</v>
      </c>
      <c r="B16" s="16"/>
      <c r="C16" s="16"/>
      <c r="D16" s="16"/>
      <c r="L16" t="s">
        <v>97</v>
      </c>
    </row>
    <row r="17" spans="1:12" ht="12.75">
      <c r="A17" s="77" t="s">
        <v>24</v>
      </c>
      <c r="B17" s="16"/>
      <c r="C17" s="16"/>
      <c r="D17" s="16"/>
      <c r="F17" s="19"/>
      <c r="L17" t="s">
        <v>98</v>
      </c>
    </row>
    <row r="18" spans="1:12" ht="12.75">
      <c r="A18" s="77" t="s">
        <v>25</v>
      </c>
      <c r="B18" s="19" t="s">
        <v>99</v>
      </c>
      <c r="C18" s="19" t="s">
        <v>100</v>
      </c>
      <c r="D18" s="19" t="s">
        <v>101</v>
      </c>
      <c r="E18" s="19" t="s">
        <v>102</v>
      </c>
      <c r="F18" s="83" t="s">
        <v>366</v>
      </c>
      <c r="G18" s="83" t="s">
        <v>373</v>
      </c>
      <c r="L18" t="s">
        <v>103</v>
      </c>
    </row>
    <row r="19" spans="1:12" ht="12.75">
      <c r="A19" s="77" t="s">
        <v>26</v>
      </c>
      <c r="B19" s="77">
        <v>6</v>
      </c>
      <c r="C19" s="16">
        <v>6</v>
      </c>
      <c r="D19" s="16" t="s">
        <v>37</v>
      </c>
      <c r="E19" s="16" t="s">
        <v>104</v>
      </c>
      <c r="G19" s="16" t="s">
        <v>374</v>
      </c>
      <c r="L19" t="s">
        <v>105</v>
      </c>
    </row>
    <row r="20" spans="1:12" ht="12.75">
      <c r="A20" s="77" t="s">
        <v>27</v>
      </c>
      <c r="B20" s="77">
        <v>8</v>
      </c>
      <c r="C20" s="16">
        <v>8</v>
      </c>
      <c r="D20" s="16" t="s">
        <v>38</v>
      </c>
      <c r="E20" s="77"/>
      <c r="G20" s="16" t="s">
        <v>6</v>
      </c>
      <c r="L20" t="s">
        <v>106</v>
      </c>
    </row>
    <row r="21" spans="1:12" ht="12.75">
      <c r="A21" s="77" t="s">
        <v>28</v>
      </c>
      <c r="B21" s="77">
        <v>10</v>
      </c>
      <c r="C21" s="16" t="s">
        <v>6</v>
      </c>
      <c r="E21" s="16"/>
      <c r="G21" s="16" t="s">
        <v>7</v>
      </c>
      <c r="L21" t="s">
        <v>107</v>
      </c>
    </row>
    <row r="22" spans="1:12" ht="12.75">
      <c r="A22" s="77" t="s">
        <v>108</v>
      </c>
      <c r="B22" s="16" t="s">
        <v>6</v>
      </c>
      <c r="C22" s="16" t="s">
        <v>7</v>
      </c>
      <c r="F22" s="16" t="s">
        <v>7</v>
      </c>
      <c r="G22" s="16" t="s">
        <v>8</v>
      </c>
      <c r="L22" t="s">
        <v>109</v>
      </c>
    </row>
    <row r="23" spans="1:12" ht="12.75">
      <c r="A23" s="77" t="s">
        <v>363</v>
      </c>
      <c r="B23" s="16" t="s">
        <v>7</v>
      </c>
      <c r="C23" s="16" t="s">
        <v>8</v>
      </c>
      <c r="F23" s="16" t="s">
        <v>9</v>
      </c>
      <c r="G23" s="16" t="s">
        <v>9</v>
      </c>
      <c r="L23" t="s">
        <v>110</v>
      </c>
    </row>
    <row r="24" spans="1:12" ht="12.75">
      <c r="A24" s="77" t="s">
        <v>30</v>
      </c>
      <c r="B24" s="16" t="s">
        <v>8</v>
      </c>
      <c r="C24" s="16" t="s">
        <v>9</v>
      </c>
      <c r="G24" s="16" t="s">
        <v>10</v>
      </c>
      <c r="L24" t="s">
        <v>112</v>
      </c>
    </row>
    <row r="25" spans="1:12" ht="12.75">
      <c r="A25" s="77" t="s">
        <v>111</v>
      </c>
      <c r="B25" s="16" t="s">
        <v>9</v>
      </c>
      <c r="C25" s="16" t="s">
        <v>10</v>
      </c>
      <c r="G25" s="16" t="s">
        <v>11</v>
      </c>
      <c r="L25" t="s">
        <v>113</v>
      </c>
    </row>
    <row r="26" spans="1:12" ht="12.75">
      <c r="A26" s="77" t="s">
        <v>32</v>
      </c>
      <c r="B26" s="16" t="s">
        <v>10</v>
      </c>
      <c r="C26" s="16" t="s">
        <v>11</v>
      </c>
      <c r="G26" s="16" t="s">
        <v>12</v>
      </c>
      <c r="L26" t="s">
        <v>114</v>
      </c>
    </row>
    <row r="27" spans="1:12" ht="12.75">
      <c r="A27" s="77" t="s">
        <v>33</v>
      </c>
      <c r="B27" s="16" t="s">
        <v>11</v>
      </c>
      <c r="C27" s="16" t="s">
        <v>12</v>
      </c>
      <c r="L27" t="s">
        <v>115</v>
      </c>
    </row>
    <row r="28" spans="1:12" ht="12.75">
      <c r="A28" s="77" t="s">
        <v>36</v>
      </c>
      <c r="B28" s="16" t="s">
        <v>12</v>
      </c>
      <c r="L28" s="19" t="s">
        <v>117</v>
      </c>
    </row>
    <row r="29" spans="1:12" ht="12.75">
      <c r="A29" s="77" t="s">
        <v>116</v>
      </c>
      <c r="B29" s="19"/>
      <c r="L29" s="19" t="s">
        <v>119</v>
      </c>
    </row>
    <row r="30" spans="1:12" ht="12.75">
      <c r="A30" s="77" t="s">
        <v>118</v>
      </c>
      <c r="B30" s="19"/>
      <c r="L30" s="19" t="s">
        <v>121</v>
      </c>
    </row>
    <row r="31" spans="1:12" ht="12.75">
      <c r="A31" s="77" t="s">
        <v>120</v>
      </c>
      <c r="B31" s="19" t="s">
        <v>122</v>
      </c>
      <c r="C31" s="19" t="s">
        <v>123</v>
      </c>
      <c r="D31" s="19" t="s">
        <v>124</v>
      </c>
      <c r="L31" s="19" t="s">
        <v>125</v>
      </c>
    </row>
    <row r="32" spans="1:12" ht="12.75">
      <c r="A32" s="77" t="s">
        <v>40</v>
      </c>
      <c r="B32" s="16" t="s">
        <v>127</v>
      </c>
      <c r="C32" s="77" t="s">
        <v>128</v>
      </c>
      <c r="D32" s="16" t="s">
        <v>129</v>
      </c>
      <c r="L32" s="19" t="s">
        <v>130</v>
      </c>
    </row>
    <row r="33" spans="1:12" ht="12.75">
      <c r="A33" s="77" t="s">
        <v>126</v>
      </c>
      <c r="B33" s="77" t="s">
        <v>131</v>
      </c>
      <c r="C33" s="77" t="s">
        <v>132</v>
      </c>
      <c r="D33" s="16" t="s">
        <v>133</v>
      </c>
      <c r="L33" s="19" t="s">
        <v>134</v>
      </c>
    </row>
    <row r="34" spans="1:12" ht="12.75">
      <c r="A34" s="77" t="s">
        <v>42</v>
      </c>
      <c r="B34" s="16"/>
      <c r="C34" s="77" t="s">
        <v>135</v>
      </c>
      <c r="L34" s="19" t="s">
        <v>136</v>
      </c>
    </row>
    <row r="35" spans="1:12" ht="12.75">
      <c r="A35" s="77" t="s">
        <v>55</v>
      </c>
      <c r="L35" s="19" t="s">
        <v>137</v>
      </c>
    </row>
    <row r="36" spans="1:12" ht="12.75">
      <c r="A36" s="77" t="s">
        <v>43</v>
      </c>
      <c r="K36" s="77"/>
      <c r="L36" s="19" t="s">
        <v>139</v>
      </c>
    </row>
    <row r="37" spans="1:12" ht="12.75">
      <c r="A37" s="77" t="s">
        <v>138</v>
      </c>
      <c r="K37" s="77"/>
      <c r="L37" s="19" t="s">
        <v>141</v>
      </c>
    </row>
    <row r="38" spans="1:12" ht="12.75">
      <c r="A38" s="77" t="s">
        <v>372</v>
      </c>
      <c r="K38" s="77"/>
      <c r="L38" s="19" t="s">
        <v>143</v>
      </c>
    </row>
    <row r="39" spans="1:12" ht="12.75">
      <c r="A39" s="16" t="s">
        <v>140</v>
      </c>
      <c r="K39" s="77"/>
      <c r="L39" s="19" t="s">
        <v>145</v>
      </c>
    </row>
    <row r="40" spans="1:12" ht="12.75">
      <c r="A40" s="77" t="s">
        <v>142</v>
      </c>
      <c r="K40" s="77"/>
      <c r="L40" t="s">
        <v>147</v>
      </c>
    </row>
    <row r="41" spans="1:12" ht="12.75">
      <c r="A41" s="77" t="s">
        <v>144</v>
      </c>
      <c r="K41" s="77"/>
      <c r="L41" t="s">
        <v>148</v>
      </c>
    </row>
    <row r="42" spans="1:12" ht="12.75">
      <c r="A42" s="77" t="s">
        <v>359</v>
      </c>
      <c r="K42" s="77"/>
      <c r="L42" t="s">
        <v>150</v>
      </c>
    </row>
    <row r="43" spans="1:12" ht="12.75">
      <c r="A43" s="77" t="s">
        <v>146</v>
      </c>
      <c r="K43" s="77"/>
      <c r="L43" t="s">
        <v>151</v>
      </c>
    </row>
    <row r="44" spans="1:12" ht="12.75">
      <c r="A44" s="77" t="s">
        <v>46</v>
      </c>
      <c r="K44" s="77"/>
      <c r="L44" t="s">
        <v>153</v>
      </c>
    </row>
    <row r="45" spans="1:12" ht="12.75">
      <c r="A45" s="16" t="s">
        <v>149</v>
      </c>
      <c r="K45" s="77"/>
      <c r="L45" t="s">
        <v>154</v>
      </c>
    </row>
    <row r="46" spans="1:12" ht="12.75">
      <c r="A46" s="16" t="s">
        <v>53</v>
      </c>
      <c r="K46" s="77"/>
      <c r="L46" t="s">
        <v>156</v>
      </c>
    </row>
    <row r="47" spans="1:12" ht="12.75">
      <c r="A47" s="16" t="s">
        <v>152</v>
      </c>
      <c r="K47" s="16"/>
      <c r="L47" t="s">
        <v>157</v>
      </c>
    </row>
    <row r="48" spans="1:12" ht="12.75">
      <c r="A48" s="16" t="s">
        <v>34</v>
      </c>
      <c r="K48" s="77"/>
      <c r="L48" t="s">
        <v>159</v>
      </c>
    </row>
    <row r="49" spans="1:12" ht="12.75">
      <c r="A49" s="16" t="s">
        <v>155</v>
      </c>
      <c r="K49" s="77"/>
      <c r="L49" t="s">
        <v>161</v>
      </c>
    </row>
    <row r="50" spans="1:12" ht="12.75">
      <c r="A50" s="16" t="s">
        <v>51</v>
      </c>
      <c r="K50" s="77"/>
      <c r="L50" t="s">
        <v>163</v>
      </c>
    </row>
    <row r="51" spans="1:12" ht="12.75">
      <c r="A51" s="16" t="s">
        <v>158</v>
      </c>
      <c r="K51" s="16"/>
      <c r="L51" t="s">
        <v>165</v>
      </c>
    </row>
    <row r="52" spans="1:12" ht="12.75">
      <c r="A52" s="77" t="s">
        <v>160</v>
      </c>
      <c r="K52" s="16"/>
      <c r="L52" t="s">
        <v>166</v>
      </c>
    </row>
    <row r="53" spans="1:12" ht="12.75">
      <c r="A53" s="16" t="s">
        <v>368</v>
      </c>
      <c r="K53" s="16"/>
      <c r="L53" t="s">
        <v>168</v>
      </c>
    </row>
    <row r="54" spans="1:12" ht="12.75">
      <c r="A54" s="16" t="s">
        <v>162</v>
      </c>
      <c r="K54" s="16"/>
      <c r="L54" t="s">
        <v>170</v>
      </c>
    </row>
    <row r="55" spans="1:12" ht="12.75">
      <c r="A55" s="16" t="s">
        <v>164</v>
      </c>
      <c r="K55" s="16"/>
      <c r="L55" t="s">
        <v>171</v>
      </c>
    </row>
    <row r="56" spans="1:12" ht="12.75">
      <c r="A56" s="16" t="s">
        <v>44</v>
      </c>
      <c r="K56" s="77"/>
      <c r="L56" t="s">
        <v>172</v>
      </c>
    </row>
    <row r="57" spans="1:12" ht="12.75">
      <c r="A57" s="16" t="s">
        <v>167</v>
      </c>
      <c r="K57" s="16"/>
      <c r="L57" t="s">
        <v>173</v>
      </c>
    </row>
    <row r="58" spans="1:12" ht="12.75">
      <c r="A58" s="16" t="s">
        <v>169</v>
      </c>
      <c r="K58" s="16"/>
      <c r="L58" t="s">
        <v>174</v>
      </c>
    </row>
    <row r="59" spans="11:12" ht="12.75">
      <c r="K59" s="16"/>
      <c r="L59" t="s">
        <v>175</v>
      </c>
    </row>
    <row r="60" spans="11:12" ht="12.75">
      <c r="K60" s="16"/>
      <c r="L60" t="s">
        <v>176</v>
      </c>
    </row>
    <row r="61" spans="11:12" ht="12.75">
      <c r="K61" s="16"/>
      <c r="L61" t="s">
        <v>177</v>
      </c>
    </row>
    <row r="62" ht="12.75">
      <c r="L62" t="s">
        <v>178</v>
      </c>
    </row>
    <row r="63" ht="12.75">
      <c r="L63" t="s">
        <v>179</v>
      </c>
    </row>
    <row r="64" ht="12.75">
      <c r="L64" t="s">
        <v>180</v>
      </c>
    </row>
    <row r="65" ht="12.75">
      <c r="L65" t="s">
        <v>181</v>
      </c>
    </row>
    <row r="66" ht="12.75">
      <c r="L66" t="s">
        <v>182</v>
      </c>
    </row>
    <row r="67" ht="12.75">
      <c r="L67" t="s">
        <v>183</v>
      </c>
    </row>
    <row r="68" ht="12.75">
      <c r="L68" t="s">
        <v>184</v>
      </c>
    </row>
    <row r="69" ht="12.75">
      <c r="L69" t="s">
        <v>185</v>
      </c>
    </row>
    <row r="70" ht="12.75">
      <c r="L70" t="s">
        <v>186</v>
      </c>
    </row>
    <row r="71" ht="12.75">
      <c r="L71" t="s">
        <v>187</v>
      </c>
    </row>
    <row r="72" ht="12.75">
      <c r="L72" t="s">
        <v>188</v>
      </c>
    </row>
    <row r="73" ht="12.75">
      <c r="L73" t="s">
        <v>189</v>
      </c>
    </row>
    <row r="74" ht="12.75">
      <c r="L74" t="s">
        <v>190</v>
      </c>
    </row>
    <row r="75" ht="12.75">
      <c r="L75" t="s">
        <v>191</v>
      </c>
    </row>
    <row r="76" ht="12.75">
      <c r="L76" t="s">
        <v>192</v>
      </c>
    </row>
    <row r="77" ht="12.75">
      <c r="L77" t="s">
        <v>193</v>
      </c>
    </row>
    <row r="78" ht="12.75">
      <c r="L78" t="s">
        <v>194</v>
      </c>
    </row>
    <row r="79" ht="12.75">
      <c r="L79" t="s">
        <v>195</v>
      </c>
    </row>
    <row r="80" ht="12.75">
      <c r="L80" t="s">
        <v>196</v>
      </c>
    </row>
    <row r="81" ht="12.75">
      <c r="L81" t="s">
        <v>197</v>
      </c>
    </row>
    <row r="82" ht="12.75">
      <c r="L82" t="s">
        <v>198</v>
      </c>
    </row>
    <row r="83" ht="12.75">
      <c r="L83" t="s">
        <v>199</v>
      </c>
    </row>
    <row r="84" ht="12.75">
      <c r="L84" t="s">
        <v>200</v>
      </c>
    </row>
    <row r="85" ht="12.75">
      <c r="L85" t="s">
        <v>201</v>
      </c>
    </row>
    <row r="86" ht="12.75">
      <c r="L86" t="s">
        <v>202</v>
      </c>
    </row>
    <row r="87" ht="12.75">
      <c r="L87" t="s">
        <v>203</v>
      </c>
    </row>
    <row r="88" ht="12.75">
      <c r="L88" t="s">
        <v>204</v>
      </c>
    </row>
    <row r="89" ht="12.75">
      <c r="L89" t="s">
        <v>205</v>
      </c>
    </row>
    <row r="90" ht="12.75">
      <c r="L90" t="s">
        <v>206</v>
      </c>
    </row>
    <row r="91" ht="12.75">
      <c r="L91" t="s">
        <v>207</v>
      </c>
    </row>
    <row r="92" ht="12.75">
      <c r="L92" t="s">
        <v>208</v>
      </c>
    </row>
    <row r="93" ht="12.75">
      <c r="L93" t="s">
        <v>209</v>
      </c>
    </row>
    <row r="94" ht="12.75">
      <c r="L94" t="s">
        <v>210</v>
      </c>
    </row>
    <row r="95" ht="12.75">
      <c r="L95" t="s">
        <v>211</v>
      </c>
    </row>
    <row r="96" ht="12.75">
      <c r="L96" t="s">
        <v>212</v>
      </c>
    </row>
    <row r="97" ht="12.75">
      <c r="L97" t="s">
        <v>213</v>
      </c>
    </row>
    <row r="98" ht="12.75">
      <c r="L98" t="s">
        <v>214</v>
      </c>
    </row>
    <row r="99" ht="12.75">
      <c r="L99" t="s">
        <v>215</v>
      </c>
    </row>
    <row r="100" ht="12.75">
      <c r="L100" t="s">
        <v>216</v>
      </c>
    </row>
    <row r="101" ht="12.75">
      <c r="L101" t="s">
        <v>217</v>
      </c>
    </row>
    <row r="102" ht="12.75">
      <c r="L102" t="s">
        <v>218</v>
      </c>
    </row>
    <row r="103" ht="12.75">
      <c r="L103" t="s">
        <v>219</v>
      </c>
    </row>
    <row r="104" ht="12.75">
      <c r="L104" t="s">
        <v>220</v>
      </c>
    </row>
    <row r="105" ht="12.75">
      <c r="L105" t="s">
        <v>221</v>
      </c>
    </row>
    <row r="106" ht="12.75">
      <c r="L106" t="s">
        <v>222</v>
      </c>
    </row>
    <row r="107" ht="12.75">
      <c r="L107" t="s">
        <v>223</v>
      </c>
    </row>
    <row r="108" ht="12.75">
      <c r="L108" t="s">
        <v>224</v>
      </c>
    </row>
    <row r="109" ht="12.75">
      <c r="L109" t="s">
        <v>225</v>
      </c>
    </row>
    <row r="110" ht="12.75">
      <c r="L110" t="s">
        <v>226</v>
      </c>
    </row>
    <row r="111" ht="12.75">
      <c r="L111" t="s">
        <v>227</v>
      </c>
    </row>
    <row r="112" ht="12.75">
      <c r="L112" t="s">
        <v>228</v>
      </c>
    </row>
    <row r="113" ht="12.75">
      <c r="L113" t="s">
        <v>229</v>
      </c>
    </row>
    <row r="114" ht="12.75">
      <c r="L114" t="s">
        <v>230</v>
      </c>
    </row>
    <row r="115" ht="12.75">
      <c r="L115" t="s">
        <v>231</v>
      </c>
    </row>
    <row r="116" ht="12.75">
      <c r="L116" t="s">
        <v>232</v>
      </c>
    </row>
    <row r="117" ht="12.75">
      <c r="L117" t="s">
        <v>233</v>
      </c>
    </row>
    <row r="118" ht="12.75">
      <c r="L118" t="s">
        <v>234</v>
      </c>
    </row>
    <row r="119" ht="12.75">
      <c r="L119" t="s">
        <v>235</v>
      </c>
    </row>
    <row r="120" ht="12.75">
      <c r="L120" t="s">
        <v>236</v>
      </c>
    </row>
    <row r="121" ht="12.75">
      <c r="L121" t="s">
        <v>237</v>
      </c>
    </row>
    <row r="122" ht="12.75">
      <c r="L122" t="s">
        <v>238</v>
      </c>
    </row>
    <row r="123" ht="12.75">
      <c r="L123" t="s">
        <v>239</v>
      </c>
    </row>
    <row r="124" ht="12.75">
      <c r="L124" t="s">
        <v>240</v>
      </c>
    </row>
    <row r="125" ht="12.75">
      <c r="L125" t="s">
        <v>241</v>
      </c>
    </row>
    <row r="126" ht="12.75">
      <c r="L126" t="s">
        <v>242</v>
      </c>
    </row>
    <row r="127" ht="12.75">
      <c r="L127" t="s">
        <v>243</v>
      </c>
    </row>
    <row r="128" ht="12.75">
      <c r="L128" t="s">
        <v>244</v>
      </c>
    </row>
    <row r="129" ht="12.75">
      <c r="L129" t="s">
        <v>245</v>
      </c>
    </row>
    <row r="130" ht="12.75">
      <c r="L130" t="s">
        <v>246</v>
      </c>
    </row>
    <row r="131" ht="12.75">
      <c r="L131" t="s">
        <v>247</v>
      </c>
    </row>
    <row r="132" ht="12.75">
      <c r="L132" t="s">
        <v>248</v>
      </c>
    </row>
    <row r="133" ht="12.75">
      <c r="L133" t="s">
        <v>249</v>
      </c>
    </row>
    <row r="134" ht="12.75">
      <c r="L134" t="s">
        <v>250</v>
      </c>
    </row>
    <row r="135" ht="12.75">
      <c r="L135" t="s">
        <v>251</v>
      </c>
    </row>
    <row r="136" ht="12.75">
      <c r="L136" t="s">
        <v>252</v>
      </c>
    </row>
    <row r="137" ht="12.75">
      <c r="L137" t="s">
        <v>253</v>
      </c>
    </row>
    <row r="138" ht="12.75">
      <c r="L138" t="s">
        <v>254</v>
      </c>
    </row>
    <row r="139" ht="12.75">
      <c r="L139" t="s">
        <v>255</v>
      </c>
    </row>
    <row r="140" ht="12.75">
      <c r="L140" t="s">
        <v>256</v>
      </c>
    </row>
    <row r="141" ht="12.75">
      <c r="L141" t="s">
        <v>257</v>
      </c>
    </row>
    <row r="142" ht="12.75">
      <c r="L142" t="s">
        <v>258</v>
      </c>
    </row>
    <row r="143" ht="12.75">
      <c r="L143" t="s">
        <v>259</v>
      </c>
    </row>
    <row r="144" ht="12.75">
      <c r="L144" t="s">
        <v>260</v>
      </c>
    </row>
    <row r="145" ht="12.75">
      <c r="L145" t="s">
        <v>261</v>
      </c>
    </row>
    <row r="146" ht="12.75">
      <c r="L146" t="s">
        <v>262</v>
      </c>
    </row>
    <row r="147" ht="12.75">
      <c r="L147" t="s">
        <v>263</v>
      </c>
    </row>
    <row r="148" ht="12.75">
      <c r="L148" t="s">
        <v>264</v>
      </c>
    </row>
    <row r="149" ht="12.75">
      <c r="L149" t="s">
        <v>265</v>
      </c>
    </row>
    <row r="150" ht="12.75">
      <c r="L150" t="s">
        <v>266</v>
      </c>
    </row>
    <row r="151" ht="12.75">
      <c r="L151" t="s">
        <v>267</v>
      </c>
    </row>
    <row r="152" ht="12.75">
      <c r="L152" t="s">
        <v>268</v>
      </c>
    </row>
    <row r="153" ht="12.75">
      <c r="L153" t="s">
        <v>269</v>
      </c>
    </row>
    <row r="154" ht="12.75">
      <c r="L154" t="s">
        <v>270</v>
      </c>
    </row>
    <row r="155" ht="12.75">
      <c r="L155" t="s">
        <v>271</v>
      </c>
    </row>
    <row r="156" ht="12.75">
      <c r="L156" t="s">
        <v>272</v>
      </c>
    </row>
    <row r="157" ht="12.75">
      <c r="L157" t="s">
        <v>273</v>
      </c>
    </row>
    <row r="158" ht="12.75">
      <c r="L158" t="s">
        <v>274</v>
      </c>
    </row>
    <row r="159" ht="12.75">
      <c r="L159" t="s">
        <v>275</v>
      </c>
    </row>
    <row r="160" ht="12.75">
      <c r="L160" t="s">
        <v>276</v>
      </c>
    </row>
    <row r="161" ht="12.75">
      <c r="L161" t="s">
        <v>277</v>
      </c>
    </row>
    <row r="162" ht="12.75">
      <c r="L162" t="s">
        <v>278</v>
      </c>
    </row>
    <row r="163" ht="12.75">
      <c r="L163" t="s">
        <v>279</v>
      </c>
    </row>
    <row r="164" ht="12.75">
      <c r="L164" t="s">
        <v>280</v>
      </c>
    </row>
    <row r="165" ht="12.75">
      <c r="L165" t="s">
        <v>281</v>
      </c>
    </row>
    <row r="166" ht="12.75">
      <c r="L166" t="s">
        <v>282</v>
      </c>
    </row>
    <row r="167" ht="12.75">
      <c r="L167" t="s">
        <v>283</v>
      </c>
    </row>
    <row r="168" ht="12.75">
      <c r="L168" t="s">
        <v>284</v>
      </c>
    </row>
    <row r="169" ht="12.75">
      <c r="L169" t="s">
        <v>285</v>
      </c>
    </row>
    <row r="170" ht="12.75">
      <c r="L170" t="s">
        <v>286</v>
      </c>
    </row>
    <row r="171" ht="12.75">
      <c r="L171" t="s">
        <v>287</v>
      </c>
    </row>
    <row r="172" ht="12.75">
      <c r="L172" t="s">
        <v>288</v>
      </c>
    </row>
    <row r="173" ht="12.75">
      <c r="L173" t="s">
        <v>289</v>
      </c>
    </row>
    <row r="174" ht="12.75">
      <c r="L174" t="s">
        <v>290</v>
      </c>
    </row>
    <row r="175" ht="12.75">
      <c r="L175" t="s">
        <v>291</v>
      </c>
    </row>
    <row r="176" ht="12.75">
      <c r="L176" t="s">
        <v>292</v>
      </c>
    </row>
    <row r="177" ht="12.75">
      <c r="L177" t="s">
        <v>293</v>
      </c>
    </row>
    <row r="178" ht="12.75">
      <c r="L178" t="s">
        <v>294</v>
      </c>
    </row>
    <row r="179" ht="12.75">
      <c r="L179" t="s">
        <v>295</v>
      </c>
    </row>
    <row r="180" ht="12.75">
      <c r="L180" t="s">
        <v>296</v>
      </c>
    </row>
    <row r="181" ht="12.75">
      <c r="L181" t="s">
        <v>297</v>
      </c>
    </row>
    <row r="182" ht="12.75">
      <c r="L182" t="s">
        <v>298</v>
      </c>
    </row>
    <row r="183" ht="12.75">
      <c r="L183" t="s">
        <v>299</v>
      </c>
    </row>
    <row r="184" ht="12.75">
      <c r="L184" t="s">
        <v>300</v>
      </c>
    </row>
    <row r="185" ht="12.75">
      <c r="L185" t="s">
        <v>301</v>
      </c>
    </row>
    <row r="186" ht="12.75">
      <c r="L186" t="s">
        <v>302</v>
      </c>
    </row>
    <row r="187" ht="12.75">
      <c r="L187" t="s">
        <v>303</v>
      </c>
    </row>
    <row r="188" ht="12.75">
      <c r="L188" t="s">
        <v>304</v>
      </c>
    </row>
    <row r="189" ht="12.75">
      <c r="L189" t="s">
        <v>305</v>
      </c>
    </row>
    <row r="190" ht="12.75">
      <c r="L190" t="s">
        <v>306</v>
      </c>
    </row>
    <row r="191" ht="12.75">
      <c r="L191" t="s">
        <v>307</v>
      </c>
    </row>
    <row r="192" ht="12.75">
      <c r="L192" t="s">
        <v>308</v>
      </c>
    </row>
    <row r="193" ht="12.75">
      <c r="L193" t="s">
        <v>309</v>
      </c>
    </row>
    <row r="194" ht="12.75">
      <c r="L194" t="s">
        <v>310</v>
      </c>
    </row>
    <row r="195" ht="12.75">
      <c r="L195" t="s">
        <v>311</v>
      </c>
    </row>
    <row r="196" ht="12.75">
      <c r="L196" t="s">
        <v>312</v>
      </c>
    </row>
    <row r="197" ht="12.75">
      <c r="L197" t="s">
        <v>313</v>
      </c>
    </row>
    <row r="198" ht="12.75">
      <c r="L198" t="s">
        <v>314</v>
      </c>
    </row>
    <row r="199" ht="12.75">
      <c r="L199" t="s">
        <v>315</v>
      </c>
    </row>
    <row r="200" ht="12.75">
      <c r="L200" t="s">
        <v>316</v>
      </c>
    </row>
    <row r="201" ht="12.75">
      <c r="L201" t="s">
        <v>317</v>
      </c>
    </row>
    <row r="202" ht="12.75">
      <c r="L202" t="s">
        <v>318</v>
      </c>
    </row>
    <row r="203" ht="12.75">
      <c r="L203" t="s">
        <v>319</v>
      </c>
    </row>
    <row r="204" ht="12.75">
      <c r="L204" t="s">
        <v>320</v>
      </c>
    </row>
    <row r="205" ht="12.75">
      <c r="L205" t="s">
        <v>321</v>
      </c>
    </row>
    <row r="206" ht="12.75">
      <c r="L206" t="s">
        <v>322</v>
      </c>
    </row>
    <row r="207" ht="12.75">
      <c r="L207" t="s">
        <v>323</v>
      </c>
    </row>
    <row r="208" ht="12.75">
      <c r="L208" t="s">
        <v>324</v>
      </c>
    </row>
    <row r="209" ht="12.75">
      <c r="L209" t="s">
        <v>325</v>
      </c>
    </row>
    <row r="210" ht="12.75">
      <c r="L210" t="s">
        <v>326</v>
      </c>
    </row>
    <row r="211" ht="12.75">
      <c r="L211" t="s">
        <v>327</v>
      </c>
    </row>
    <row r="212" ht="12.75">
      <c r="L212" t="s">
        <v>328</v>
      </c>
    </row>
    <row r="213" ht="12.75">
      <c r="L213" t="s">
        <v>329</v>
      </c>
    </row>
    <row r="214" ht="12.75">
      <c r="L214" t="s">
        <v>330</v>
      </c>
    </row>
    <row r="215" ht="12.75">
      <c r="L215" t="s">
        <v>331</v>
      </c>
    </row>
    <row r="216" ht="12.75">
      <c r="L216" t="s">
        <v>332</v>
      </c>
    </row>
    <row r="217" ht="12.75">
      <c r="L217" t="s">
        <v>333</v>
      </c>
    </row>
    <row r="218" ht="12.75">
      <c r="L218" t="s">
        <v>334</v>
      </c>
    </row>
    <row r="219" ht="12.75">
      <c r="L219" t="s">
        <v>335</v>
      </c>
    </row>
    <row r="220" ht="12.75">
      <c r="L220" t="s">
        <v>336</v>
      </c>
    </row>
    <row r="221" ht="12.75">
      <c r="L221" t="s">
        <v>337</v>
      </c>
    </row>
    <row r="222" ht="12.75">
      <c r="L222" t="s">
        <v>338</v>
      </c>
    </row>
    <row r="223" ht="12.75">
      <c r="L223" t="s">
        <v>339</v>
      </c>
    </row>
    <row r="224" ht="12.75">
      <c r="L224" t="s">
        <v>340</v>
      </c>
    </row>
    <row r="225" ht="12.75">
      <c r="L225" t="s">
        <v>341</v>
      </c>
    </row>
    <row r="226" ht="12.75">
      <c r="L226" t="s">
        <v>342</v>
      </c>
    </row>
    <row r="227" ht="12.75">
      <c r="L227" t="s">
        <v>343</v>
      </c>
    </row>
    <row r="228" ht="12.75">
      <c r="L228" t="s">
        <v>344</v>
      </c>
    </row>
    <row r="229" ht="12.75">
      <c r="L229" t="s">
        <v>345</v>
      </c>
    </row>
    <row r="230" ht="12.75">
      <c r="L230" t="s">
        <v>346</v>
      </c>
    </row>
    <row r="231" ht="12.75">
      <c r="L231" t="s">
        <v>347</v>
      </c>
    </row>
    <row r="232" ht="12.75">
      <c r="L232" t="s">
        <v>348</v>
      </c>
    </row>
    <row r="233" ht="12.75">
      <c r="L233" t="s">
        <v>349</v>
      </c>
    </row>
    <row r="234" ht="12.75">
      <c r="L234" t="s">
        <v>350</v>
      </c>
    </row>
    <row r="235" ht="12.75">
      <c r="L235" t="s">
        <v>351</v>
      </c>
    </row>
    <row r="236" ht="12.75">
      <c r="L236" t="s">
        <v>352</v>
      </c>
    </row>
    <row r="237" ht="12.75">
      <c r="L237" t="s">
        <v>353</v>
      </c>
    </row>
    <row r="238" ht="12.75">
      <c r="L238" t="s">
        <v>354</v>
      </c>
    </row>
    <row r="239" ht="12.75">
      <c r="L239" t="s">
        <v>355</v>
      </c>
    </row>
    <row r="240" ht="12.75">
      <c r="L240" t="s">
        <v>356</v>
      </c>
    </row>
  </sheetData>
  <sheetProtection selectLockedCells="1" selectUnlockedCells="1"/>
  <dataValidations count="3">
    <dataValidation type="list" allowBlank="1" showInputMessage="1" showErrorMessage="1" prompt="Sélectionnez le type de produit" sqref="B12 D34 C31:D31 B18:E18 F17">
      <formula1>$B$260:$B$271</formula1>
      <formula2>0</formula2>
    </dataValidation>
    <dataValidation type="list" allowBlank="1" showInputMessage="1" showErrorMessage="1" prompt="Sélectionnez le type de produit" sqref="L29:L39">
      <formula1>$A$4:$A$18</formula1>
      <formula2>0</formula2>
    </dataValidation>
    <dataValidation allowBlank="1" showInputMessage="1" showErrorMessage="1" prompt="Sélectionnez le type de produit" sqref="F18"/>
  </dataValidation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ccayla</dc:creator>
  <cp:keywords/>
  <dc:description/>
  <cp:lastModifiedBy>Utilisateur Windows</cp:lastModifiedBy>
  <dcterms:created xsi:type="dcterms:W3CDTF">2022-05-17T15:52:57Z</dcterms:created>
  <dcterms:modified xsi:type="dcterms:W3CDTF">2024-03-13T15:13:19Z</dcterms:modified>
  <cp:category/>
  <cp:version/>
  <cp:contentType/>
  <cp:contentStatus/>
</cp:coreProperties>
</file>